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drive\14.SR - Publico\Licitação 14SL\Serviço Vigilância\"/>
    </mc:Choice>
  </mc:AlternateContent>
  <xr:revisionPtr revIDLastSave="0" documentId="8_{85A3C128-8381-4949-A2CF-74C0A707E0F8}" xr6:coauthVersionLast="47" xr6:coauthVersionMax="47" xr10:uidLastSave="{00000000-0000-0000-0000-000000000000}"/>
  <bookViews>
    <workbookView xWindow="-28920" yWindow="-120" windowWidth="29040" windowHeight="15840" tabRatio="948" xr2:uid="{00000000-000D-0000-FFFF-FFFF00000000}"/>
  </bookViews>
  <sheets>
    <sheet name="Geral" sheetId="18" r:id="rId1"/>
    <sheet name="Quadro Resumo - Valor Mensal" sheetId="34" r:id="rId2"/>
    <sheet name="MEMORIA" sheetId="49" r:id="rId3"/>
    <sheet name="Uniformes" sheetId="25" r:id="rId4"/>
    <sheet name="Materiais" sheetId="31" r:id="rId5"/>
    <sheet name="Equipamentos" sheetId="32" r:id="rId6"/>
    <sheet name="12X36 DIU FORTAL CCT2023" sheetId="44" r:id="rId7"/>
    <sheet name="12X36 NOTURNO FORTAL CCT2023" sheetId="48" r:id="rId8"/>
  </sheets>
  <definedNames>
    <definedName name="_xlnm.Print_Area" localSheetId="6">'12X36 DIU FORTAL CCT2023'!$B$1:$F$143</definedName>
    <definedName name="_xlnm.Print_Area" localSheetId="7">'12X36 NOTURNO FORTAL CCT2023'!$B$1:$F$147</definedName>
    <definedName name="_xlnm.Print_Area" localSheetId="5">Equipamentos!$A$1:$F$24</definedName>
    <definedName name="_xlnm.Print_Area" localSheetId="0">Geral!$A$1:$J$18</definedName>
    <definedName name="_xlnm.Print_Area" localSheetId="4">Materiais!$A$1:$E$19</definedName>
    <definedName name="_xlnm.Print_Area" localSheetId="1">'Quadro Resumo - Valor Mensal'!$A$1:$F$31</definedName>
    <definedName name="_xlnm.Print_Area" localSheetId="3">Uniformes!$A$1:$G$17</definedName>
    <definedName name="Excel_BuiltIn_Print_Area_1" localSheetId="6">#REF!</definedName>
    <definedName name="Excel_BuiltIn_Print_Area_1" localSheetId="7">#REF!</definedName>
    <definedName name="Excel_BuiltIn_Print_Area_1">#REF!</definedName>
    <definedName name="Excel_BuiltIn_Print_Area_2" localSheetId="6">#REF!</definedName>
    <definedName name="Excel_BuiltIn_Print_Area_2" localSheetId="7">#REF!</definedName>
    <definedName name="Excel_BuiltIn_Print_Area_2">#REF!</definedName>
    <definedName name="Teste" localSheetId="6">#REF!</definedName>
    <definedName name="Teste" localSheetId="7">#REF!</definedName>
    <definedName name="Teste">#REF!</definedName>
    <definedName name="teste2" localSheetId="6">#REF!</definedName>
    <definedName name="teste2" localSheetId="7">#REF!</definedName>
    <definedName name="teste2">#REF!</definedName>
    <definedName name="teste3" localSheetId="6">#REF!</definedName>
    <definedName name="teste3" localSheetId="7">#REF!</definedName>
    <definedName name="teste3">#REF!</definedName>
    <definedName name="Teste4" localSheetId="6">#REF!</definedName>
    <definedName name="Teste4" localSheetId="7">#REF!</definedName>
    <definedName name="Teste4">#REF!</definedName>
    <definedName name="Teste5" localSheetId="6">#REF!</definedName>
    <definedName name="Teste5" localSheetId="7">#REF!</definedName>
    <definedName name="Teste5">#REF!</definedName>
    <definedName name="Teste6" localSheetId="6">#REF!</definedName>
    <definedName name="Teste6" localSheetId="7">#REF!</definedName>
    <definedName name="Teste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48" l="1"/>
  <c r="D45" i="48" l="1"/>
  <c r="G6" i="44" l="1"/>
  <c r="C35" i="49"/>
  <c r="C29" i="49"/>
  <c r="C46" i="49"/>
  <c r="G40" i="48"/>
  <c r="G57" i="48" s="1"/>
  <c r="G67" i="48" s="1"/>
  <c r="G64" i="48"/>
  <c r="G64" i="44"/>
  <c r="G40" i="44"/>
  <c r="G28" i="44" s="1"/>
  <c r="G27" i="48"/>
  <c r="C51" i="49"/>
  <c r="C59" i="49" s="1"/>
  <c r="D41" i="48"/>
  <c r="G28" i="48" s="1"/>
  <c r="G56" i="48" s="1"/>
  <c r="G80" i="48"/>
  <c r="G80" i="44"/>
  <c r="H80" i="44" s="1"/>
  <c r="I80" i="44" s="1"/>
  <c r="C11" i="49"/>
  <c r="C43" i="49"/>
  <c r="G56" i="44" l="1"/>
  <c r="G29" i="44"/>
  <c r="H81" i="44"/>
  <c r="G57" i="44"/>
  <c r="G67" i="44" s="1"/>
  <c r="G69" i="48"/>
  <c r="G69" i="44"/>
  <c r="H80" i="48"/>
  <c r="H81" i="48" s="1"/>
  <c r="H83" i="48" s="1"/>
  <c r="C40" i="49"/>
  <c r="C41" i="49" s="1"/>
  <c r="C19" i="49"/>
  <c r="C25" i="49" s="1"/>
  <c r="D34" i="48"/>
  <c r="D34" i="44"/>
  <c r="F8" i="25"/>
  <c r="F7" i="25"/>
  <c r="F6" i="25"/>
  <c r="F5" i="25"/>
  <c r="F4" i="25"/>
  <c r="F3" i="25"/>
  <c r="F2" i="32"/>
  <c r="H83" i="44" l="1"/>
  <c r="C12" i="49"/>
  <c r="C13" i="49" s="1"/>
  <c r="C60" i="49" s="1"/>
  <c r="C44" i="49"/>
  <c r="E3" i="31" l="1"/>
  <c r="E4" i="31"/>
  <c r="E2" i="31"/>
  <c r="E5" i="31" l="1"/>
  <c r="E8" i="31" s="1"/>
  <c r="C69" i="49" s="1"/>
  <c r="D98" i="44" l="1"/>
  <c r="D98" i="48"/>
  <c r="D111" i="48"/>
  <c r="D87" i="48"/>
  <c r="D92" i="48" s="1"/>
  <c r="D40" i="48"/>
  <c r="D14" i="48" l="1"/>
  <c r="D51" i="48" s="1"/>
  <c r="D52" i="48" l="1"/>
  <c r="D16" i="48"/>
  <c r="D17" i="48"/>
  <c r="D20" i="48" l="1"/>
  <c r="D65" i="48" s="1"/>
  <c r="D58" i="48"/>
  <c r="D116" i="48"/>
  <c r="D66" i="48" l="1"/>
  <c r="D67" i="48" s="1"/>
  <c r="D63" i="48"/>
  <c r="D76" i="48"/>
  <c r="D77" i="48"/>
  <c r="D25" i="48"/>
  <c r="D74" i="48"/>
  <c r="D68" i="48"/>
  <c r="D79" i="48"/>
  <c r="D75" i="48"/>
  <c r="D26" i="48"/>
  <c r="D64" i="48"/>
  <c r="D69" i="48" l="1"/>
  <c r="D118" i="48" s="1"/>
  <c r="D78" i="48"/>
  <c r="G81" i="48" s="1"/>
  <c r="D81" i="48" s="1"/>
  <c r="D28" i="48"/>
  <c r="D27" i="48"/>
  <c r="E32" i="48" s="1"/>
  <c r="D82" i="48"/>
  <c r="D91" i="48" s="1"/>
  <c r="F13" i="25"/>
  <c r="F12" i="25"/>
  <c r="F11" i="25"/>
  <c r="F10" i="25"/>
  <c r="F9" i="25"/>
  <c r="E34" i="48" l="1"/>
  <c r="D29" i="48"/>
  <c r="D56" i="48" s="1"/>
  <c r="E35" i="48"/>
  <c r="E39" i="48"/>
  <c r="E37" i="48"/>
  <c r="E36" i="48"/>
  <c r="E33" i="48"/>
  <c r="E38" i="48"/>
  <c r="D93" i="48"/>
  <c r="D119" i="48" s="1"/>
  <c r="F14" i="25"/>
  <c r="E40" i="48" l="1"/>
  <c r="D57" i="48" s="1"/>
  <c r="D59" i="48"/>
  <c r="D117" i="48" s="1"/>
  <c r="F15" i="25"/>
  <c r="D111" i="44"/>
  <c r="D87" i="44"/>
  <c r="D92" i="44" s="1"/>
  <c r="D40" i="44"/>
  <c r="D13" i="44"/>
  <c r="D45" i="44" s="1"/>
  <c r="D14" i="44" l="1"/>
  <c r="D20" i="44" s="1"/>
  <c r="C68" i="49"/>
  <c r="D97" i="44"/>
  <c r="D97" i="48"/>
  <c r="D26" i="44" l="1"/>
  <c r="D25" i="44"/>
  <c r="D63" i="44"/>
  <c r="D51" i="44"/>
  <c r="D52" i="44"/>
  <c r="D58" i="44" s="1"/>
  <c r="D65" i="44"/>
  <c r="D68" i="44"/>
  <c r="F3" i="32"/>
  <c r="D27" i="44" l="1"/>
  <c r="D28" i="44"/>
  <c r="F4" i="32"/>
  <c r="D29" i="44" l="1"/>
  <c r="D56" i="44" s="1"/>
  <c r="F5" i="32"/>
  <c r="F7" i="32" s="1"/>
  <c r="C70" i="49" s="1"/>
  <c r="D99" i="48" l="1"/>
  <c r="D99" i="44"/>
  <c r="D100" i="44" s="1"/>
  <c r="D100" i="48" l="1"/>
  <c r="D120" i="48" s="1"/>
  <c r="D121" i="48" s="1"/>
  <c r="E104" i="48" s="1"/>
  <c r="D120" i="44"/>
  <c r="E105" i="48" l="1"/>
  <c r="E109" i="48" s="1"/>
  <c r="E107" i="48" l="1"/>
  <c r="E111" i="48" l="1"/>
  <c r="D122" i="48" s="1"/>
  <c r="D123" i="48" s="1"/>
  <c r="F130" i="48" s="1"/>
  <c r="F131" i="48" s="1"/>
  <c r="F133" i="48" l="1"/>
  <c r="F134" i="48" s="1"/>
  <c r="D124" i="48"/>
  <c r="B9" i="34"/>
  <c r="D9" i="34" s="1"/>
  <c r="F9" i="34" s="1"/>
  <c r="D79" i="44" l="1"/>
  <c r="D76" i="44"/>
  <c r="D75" i="44"/>
  <c r="D77" i="44"/>
  <c r="D66" i="44"/>
  <c r="D67" i="44" s="1"/>
  <c r="D64" i="44"/>
  <c r="D74" i="44"/>
  <c r="D116" i="44"/>
  <c r="D78" i="44" l="1"/>
  <c r="G81" i="44" s="1"/>
  <c r="D81" i="44" s="1"/>
  <c r="E32" i="44"/>
  <c r="D69" i="44"/>
  <c r="D118" i="44" s="1"/>
  <c r="D82" i="44" l="1"/>
  <c r="D91" i="44" s="1"/>
  <c r="D93" i="44" s="1"/>
  <c r="D119" i="44" s="1"/>
  <c r="E35" i="44"/>
  <c r="E38" i="44"/>
  <c r="E36" i="44"/>
  <c r="E37" i="44"/>
  <c r="E33" i="44"/>
  <c r="E39" i="44"/>
  <c r="E34" i="44"/>
  <c r="E40" i="44" l="1"/>
  <c r="D57" i="44" s="1"/>
  <c r="D59" i="44" s="1"/>
  <c r="D117" i="44" s="1"/>
  <c r="D121" i="44" s="1"/>
  <c r="E104" i="44" l="1"/>
  <c r="E105" i="44" l="1"/>
  <c r="E109" i="44" s="1"/>
  <c r="E107" i="44" l="1"/>
  <c r="E111" i="44" l="1"/>
  <c r="D122" i="44" s="1"/>
  <c r="D123" i="44" s="1"/>
  <c r="F130" i="44" l="1"/>
  <c r="F131" i="44" s="1"/>
  <c r="B8" i="34"/>
  <c r="D8" i="34" s="1"/>
  <c r="F8" i="34" s="1"/>
  <c r="D124" i="44"/>
  <c r="F10" i="34" l="1"/>
  <c r="F17" i="34"/>
  <c r="F133" i="44"/>
  <c r="F134" i="44" s="1"/>
  <c r="D10" i="34"/>
  <c r="F19" i="34" l="1"/>
  <c r="F21" i="3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VERA</author>
    <author>Luana</author>
  </authors>
  <commentList>
    <comment ref="C40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VERA:</t>
        </r>
        <r>
          <rPr>
            <sz val="9"/>
            <color indexed="81"/>
            <rFont val="Segoe UI"/>
            <family val="2"/>
          </rPr>
          <t xml:space="preserve">
{[0,05 x (1/12)] x100} = 0,417%
Considerando 5% de empregados substituídos durante o contrato</t>
        </r>
      </text>
    </comment>
    <comment ref="B77" authorId="1" shapeId="0" xr:uid="{00000000-0006-0000-0100-000002000000}">
      <text>
        <r>
          <rPr>
            <sz val="10"/>
            <color indexed="81"/>
            <rFont val="Tahoma"/>
            <family val="2"/>
          </rPr>
          <t>O percentual de tributos é aplicado sobre o faturamento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FBS</author>
    <author/>
    <author>Luana</author>
    <author>fbrasil</author>
    <author>Franklin Brasil Santos</author>
    <author>Frank</author>
  </authors>
  <commentList>
    <comment ref="D4" authorId="0" shapeId="0" xr:uid="{00000000-0006-0000-0500-000001000000}">
      <text>
        <r>
          <rPr>
            <sz val="10"/>
            <color indexed="81"/>
            <rFont val="Arial"/>
            <family val="2"/>
          </rPr>
          <t>Uitlizar 15 dias conforme CCT.</t>
        </r>
      </text>
    </comment>
    <comment ref="D13" authorId="1" shapeId="0" xr:uid="{00000000-0006-0000-0500-000002000000}">
      <text>
        <r>
          <rPr>
            <sz val="10"/>
            <color indexed="8"/>
            <rFont val="Arial"/>
            <family val="2"/>
          </rPr>
          <t xml:space="preserve">CCT 2023.
</t>
        </r>
      </text>
    </comment>
    <comment ref="D14" authorId="1" shapeId="0" xr:uid="{00000000-0006-0000-0500-000003000000}">
      <text>
        <r>
          <rPr>
            <sz val="10"/>
            <color indexed="8"/>
            <rFont val="Arial"/>
            <family val="2"/>
          </rPr>
          <t>Não se aplica</t>
        </r>
      </text>
    </comment>
    <comment ref="D15" authorId="1" shapeId="0" xr:uid="{00000000-0006-0000-0500-000004000000}">
      <text>
        <r>
          <rPr>
            <sz val="10"/>
            <color indexed="8"/>
            <rFont val="Arial"/>
            <family val="2"/>
          </rPr>
          <t>Não se aplica</t>
        </r>
      </text>
    </comment>
    <comment ref="D16" authorId="2" shapeId="0" xr:uid="{00000000-0006-0000-0500-000005000000}">
      <text>
        <r>
          <rPr>
            <sz val="10"/>
            <color indexed="81"/>
            <rFont val="Arial"/>
            <family val="2"/>
          </rPr>
          <t>Não se aplica</t>
        </r>
      </text>
    </comment>
    <comment ref="D17" authorId="2" shapeId="0" xr:uid="{00000000-0006-0000-0500-000006000000}">
      <text>
        <r>
          <rPr>
            <sz val="10"/>
            <color indexed="81"/>
            <rFont val="Arial"/>
            <family val="2"/>
          </rPr>
          <t>Não se aplica</t>
        </r>
      </text>
    </comment>
    <comment ref="D18" authorId="3" shapeId="0" xr:uid="{00000000-0006-0000-0500-000007000000}">
      <text>
        <r>
          <rPr>
            <sz val="10"/>
            <color indexed="81"/>
            <rFont val="Tahoma"/>
            <family val="2"/>
          </rPr>
          <t>Não se aplica</t>
        </r>
      </text>
    </comment>
    <comment ref="D25" authorId="2" shapeId="0" xr:uid="{00000000-0006-0000-0500-000008000000}">
      <text>
        <r>
          <rPr>
            <sz val="10"/>
            <color indexed="81"/>
            <rFont val="Arial"/>
            <family val="2"/>
          </rPr>
          <t>1/12 da remuneração
Cálculo: 1/12 = 8,33% * Remuneração</t>
        </r>
      </text>
    </comment>
    <comment ref="D26" authorId="2" shapeId="0" xr:uid="{00000000-0006-0000-0500-000009000000}">
      <text>
        <r>
          <rPr>
            <sz val="10"/>
            <color indexed="81"/>
            <rFont val="Arial"/>
            <family val="2"/>
          </rPr>
          <t>[1/12] de férias  + [(1/3) / 12] de adicional
Cálculo: 1/12 = 8,33% + (1/3/12 = 2,78%)  = 11,11% * Remuneração</t>
        </r>
      </text>
    </comment>
    <comment ref="E32" authorId="0" shapeId="0" xr:uid="{00000000-0006-0000-0500-00000A000000}">
      <text>
        <r>
          <rPr>
            <sz val="10"/>
            <color indexed="81"/>
            <rFont val="Arial"/>
            <family val="2"/>
          </rPr>
          <t>Art. 22, Inciso I, da Lei nº 8.212/91.</t>
        </r>
        <r>
          <rPr>
            <sz val="9"/>
            <color indexed="81"/>
            <rFont val="Tahoma"/>
            <family val="2"/>
          </rPr>
          <t xml:space="preserve">
(incide sobre a Remuneração (Módulo 1 + 13º e Férias (Submódulo2.1) )</t>
        </r>
      </text>
    </comment>
    <comment ref="E33" authorId="0" shapeId="0" xr:uid="{00000000-0006-0000-0500-00000B000000}">
      <text>
        <r>
          <rPr>
            <sz val="10"/>
            <color indexed="81"/>
            <rFont val="Arial"/>
            <family val="2"/>
          </rPr>
          <t>Art. 3º, Inciso I, Decreto n.º 87.043/82.
(incide sobre a Remuneração (Módulo 1 + 13º e Férias (Submódulo2.1) )</t>
        </r>
      </text>
    </comment>
    <comment ref="E34" authorId="4" shapeId="0" xr:uid="{00000000-0006-0000-0500-00000C000000}">
      <text>
        <r>
          <rPr>
            <sz val="10"/>
            <color indexed="81"/>
            <rFont val="Arial"/>
            <family val="2"/>
          </rPr>
          <t xml:space="preserve">RAT x FAP. 
1) RAT = 3% (Limpeza em prédios e em domicílios - código 8121-4/00 do Anexo V do Decreto n.º 3.048/1999). 
2) FAP = Máximo de Fator de Acidente Previdenciário = 2:
3% x 2 = 6% (maior valor possível)
</t>
        </r>
        <r>
          <rPr>
            <b/>
            <sz val="10"/>
            <color indexed="81"/>
            <rFont val="Arial"/>
            <family val="2"/>
          </rPr>
          <t>A empresa deve utilizar o seu FAP efetivo, a ser comprovado no envio de sua proposta adequada ao lance vencedor, mediante apresentação da GFIP ou outro documento apto a fazê-lo.</t>
        </r>
      </text>
    </comment>
    <comment ref="E35" authorId="0" shapeId="0" xr:uid="{00000000-0006-0000-0500-00000D000000}">
      <text>
        <r>
          <rPr>
            <sz val="10"/>
            <color indexed="81"/>
            <rFont val="Arial"/>
            <family val="2"/>
          </rPr>
          <t>Art. 3º, Lei n.º 8.036/90.
(incide sobre a Remuneração (Módulo 1 + 13º e Férias (Submódulo2.1) )</t>
        </r>
      </text>
    </comment>
    <comment ref="E36" authorId="0" shapeId="0" xr:uid="{00000000-0006-0000-0500-00000E000000}">
      <text>
        <r>
          <rPr>
            <sz val="10"/>
            <color indexed="81"/>
            <rFont val="Arial"/>
            <family val="2"/>
          </rPr>
          <t>Decreto n.º 2.318/86
(incide sobre a Remuneração (Módulo 1 + 13º e Férias (Submódulo2.1) )</t>
        </r>
      </text>
    </comment>
    <comment ref="E37" authorId="0" shapeId="0" xr:uid="{00000000-0006-0000-0500-00000F000000}">
      <text>
        <r>
          <rPr>
            <sz val="10"/>
            <color indexed="81"/>
            <rFont val="Arial"/>
            <family val="2"/>
          </rPr>
          <t>Art. 8º, Lei n.º 8.029/90 e Lei n.º 8.154/90.
(incide sobre a Remuneração (Módulo 1 + 13º e Férias (Submódulo2.1) )</t>
        </r>
      </text>
    </comment>
    <comment ref="E38" authorId="0" shapeId="0" xr:uid="{00000000-0006-0000-0500-000010000000}">
      <text>
        <r>
          <rPr>
            <sz val="10"/>
            <color indexed="81"/>
            <rFont val="Arial"/>
            <family val="2"/>
          </rPr>
          <t>Lei n.º 7.787/89 e DL n.º 1.146/70.
(incide sobre a Remuneração (Módulo 1 + 13º e Férias (Submódulo2.1) )</t>
        </r>
      </text>
    </comment>
    <comment ref="E39" authorId="0" shapeId="0" xr:uid="{00000000-0006-0000-0500-000011000000}">
      <text>
        <r>
          <rPr>
            <sz val="10"/>
            <color indexed="81"/>
            <rFont val="Arial"/>
            <family val="2"/>
          </rPr>
          <t>Art. 15, Lei nº 8.030/90 e Art. 7º, III, CF.
(incide sobre a Remuneração (Módulo 1 + 13º e Férias (Submódulo2.1) )</t>
        </r>
      </text>
    </comment>
    <comment ref="D45" authorId="1" shapeId="0" xr:uid="{00000000-0006-0000-0500-000012000000}">
      <text>
        <r>
          <rPr>
            <sz val="10"/>
            <color indexed="8"/>
            <rFont val="Arial"/>
            <family val="2"/>
          </rPr>
          <t>(R$ 4,00
 (bilhete único) * 2/dia * Qtde dias trabalhados/mês) - (Salario Base * 6%)</t>
        </r>
      </text>
    </comment>
    <comment ref="D47" authorId="1" shapeId="0" xr:uid="{00000000-0006-0000-0500-000013000000}">
      <text>
        <r>
          <rPr>
            <sz val="10"/>
            <color indexed="8"/>
            <rFont val="Arial"/>
            <family val="2"/>
          </rPr>
          <t>Não se aplica</t>
        </r>
      </text>
    </comment>
    <comment ref="D48" authorId="1" shapeId="0" xr:uid="{00000000-0006-0000-0500-000014000000}">
      <text>
        <r>
          <rPr>
            <sz val="10"/>
            <color indexed="8"/>
            <rFont val="Arial"/>
            <family val="2"/>
          </rPr>
          <t>Não se aplica</t>
        </r>
      </text>
    </comment>
    <comment ref="D51" authorId="0" shapeId="0" xr:uid="{00000000-0006-0000-0500-000015000000}">
      <text>
        <r>
          <rPr>
            <sz val="9"/>
            <color indexed="81"/>
            <rFont val="Tahoma"/>
            <family val="2"/>
          </rPr>
          <t xml:space="preserve">A intrajornada com a mudança da CLT EM 2017 deixou de ter efeito remuneratório, saindo do módulo 1 letra G. Usa-se a porcentagem de 50% no cálculo da INTRAJORNADA , CONFORME CLT.
</t>
        </r>
      </text>
    </comment>
    <comment ref="D63" authorId="2" shapeId="0" xr:uid="{00000000-0006-0000-0500-000016000000}">
      <text>
        <r>
          <rPr>
            <sz val="10"/>
            <color indexed="81"/>
            <rFont val="Arial"/>
            <family val="2"/>
          </rPr>
          <t>{[0,05 x (1/12)] x100} = 0,417%
Considerando 5% de empregados substituídos durante o contrato</t>
        </r>
      </text>
    </comment>
    <comment ref="D64" authorId="0" shapeId="0" xr:uid="{00000000-0006-0000-0500-000017000000}">
      <text>
        <r>
          <rPr>
            <sz val="10"/>
            <color indexed="81"/>
            <rFont val="Arial"/>
            <family val="2"/>
          </rPr>
          <t>Aviso prévio indenizado * Percentual FGTS</t>
        </r>
      </text>
    </comment>
    <comment ref="D65" authorId="2" shapeId="0" xr:uid="{00000000-0006-0000-0500-000018000000}">
      <text>
        <r>
          <rPr>
            <sz val="10"/>
            <color indexed="81"/>
            <rFont val="Arial"/>
            <family val="2"/>
          </rPr>
          <t xml:space="preserve">Remuneração * 3,2%
</t>
        </r>
      </text>
    </comment>
    <comment ref="D66" authorId="2" shapeId="0" xr:uid="{00000000-0006-0000-0500-000019000000}">
      <text>
        <r>
          <rPr>
            <sz val="10"/>
            <color indexed="81"/>
            <rFont val="Arial"/>
            <family val="2"/>
          </rPr>
          <t xml:space="preserve">{[(7/30)/12]x100} = 1,944%
7 dias de folga / 30 dias / 12 meses (vigência inicial do contrato) = provisão mensal para esse item de custo * remuneração mensal
</t>
        </r>
        <r>
          <rPr>
            <b/>
            <sz val="10"/>
            <color indexed="81"/>
            <rFont val="Arial"/>
            <family val="2"/>
          </rPr>
          <t>REVER NA PRORROGAÇÃO</t>
        </r>
      </text>
    </comment>
    <comment ref="D67" authorId="0" shapeId="0" xr:uid="{00000000-0006-0000-0500-00001A000000}">
      <text>
        <r>
          <rPr>
            <sz val="10"/>
            <color indexed="81"/>
            <rFont val="Arial"/>
            <family val="2"/>
          </rPr>
          <t xml:space="preserve">Aviso prévio trabalhado * Percentual Total do Submódulo 2.2
</t>
        </r>
      </text>
    </comment>
    <comment ref="D68" authorId="2" shapeId="0" xr:uid="{00000000-0006-0000-0500-00001B000000}">
      <text>
        <r>
          <rPr>
            <sz val="10"/>
            <color indexed="81"/>
            <rFont val="Arial"/>
            <family val="2"/>
          </rPr>
          <t>Remuneração *0,80%</t>
        </r>
      </text>
    </comment>
    <comment ref="D74" authorId="2" shapeId="0" xr:uid="{00000000-0006-0000-0500-00001C000000}">
      <text>
        <r>
          <rPr>
            <sz val="10"/>
            <color indexed="81"/>
            <rFont val="Arial"/>
            <family val="2"/>
          </rPr>
          <t>Provisão de 1 mês de [férias + adicional de férias + 13º] do funcionário substituto quando o titular sai de férias
Cálculo: (11,11% + 8,33%)/12 = 1,62% sobre a Remuneração</t>
        </r>
      </text>
    </comment>
    <comment ref="D75" authorId="2" shapeId="0" xr:uid="{00000000-0006-0000-0500-00001D000000}">
      <text>
        <r>
          <rPr>
            <sz val="10"/>
            <color indexed="81"/>
            <rFont val="Arial"/>
            <family val="2"/>
          </rPr>
          <t>Acordao TCU 1753-2008: Calcula, segundo estimativas do MPOG, em 2,96 dias por ano as ausências legais, calculando em 0,82 % o impacto</t>
        </r>
      </text>
    </comment>
    <comment ref="D76" authorId="2" shapeId="0" xr:uid="{00000000-0006-0000-0500-00001E000000}">
      <text>
        <r>
          <rPr>
            <sz val="10"/>
            <color indexed="81"/>
            <rFont val="Arial"/>
            <family val="2"/>
          </rPr>
          <t>Manual de Preenchimento de 
Planilhas do MPOG 2011 (pg 27): 0,02%</t>
        </r>
      </text>
    </comment>
    <comment ref="D77" authorId="2" shapeId="0" xr:uid="{00000000-0006-0000-0500-00001F000000}">
      <text>
        <r>
          <rPr>
            <sz val="10"/>
            <color indexed="81"/>
            <rFont val="Arial"/>
            <family val="2"/>
          </rPr>
          <t>Manual de Preenchimento de Planilhas do MPOG 2011 (pg 28): 0,03%</t>
        </r>
      </text>
    </comment>
    <comment ref="D78" authorId="2" shapeId="0" xr:uid="{00000000-0006-0000-0500-000020000000}">
      <text>
        <r>
          <rPr>
            <sz val="10"/>
            <color indexed="81"/>
            <rFont val="Arial"/>
            <family val="2"/>
          </rPr>
          <t>Referência: Manual de Preenchimento de Planilha MPOG 2011, pg 23 e 55
Custos do empregador durante a licença-maternidade: 
"férias, adicional de férias, 13º salário, encargos previdenciários, FGTS"
Considerando 90% de proporção de mulheres no cargo (histórico de contratos anteriores)
Cálculo: (Férias + Adicional Férias + 13º) * 4 meses de licença * 90% de mulheres na atividade * (6,24% de taxa de fecundidade anual) / 12 meses (provisão mensal)</t>
        </r>
      </text>
    </comment>
    <comment ref="D79" authorId="2" shapeId="0" xr:uid="{00000000-0006-0000-0500-000021000000}">
      <text>
        <r>
          <rPr>
            <sz val="10"/>
            <color indexed="81"/>
            <rFont val="Arial"/>
            <family val="2"/>
          </rPr>
          <t>Manual de Preenchimento de Planilhas do MPOG 2011 (pg 27): 1,66%</t>
        </r>
      </text>
    </comment>
    <comment ref="D81" authorId="0" shapeId="0" xr:uid="{00000000-0006-0000-0500-000022000000}">
      <text>
        <r>
          <rPr>
            <sz val="10"/>
            <color indexed="81"/>
            <rFont val="Arial"/>
            <family val="2"/>
          </rPr>
          <t>Soma do Custo de Reposição * Percentual total de submódulo 2.2</t>
        </r>
      </text>
    </comment>
    <comment ref="D86" authorId="5" shapeId="0" xr:uid="{00000000-0006-0000-0500-000023000000}">
      <text>
        <r>
          <rPr>
            <b/>
            <sz val="9"/>
            <color indexed="81"/>
            <rFont val="Segoe UI"/>
            <family val="2"/>
          </rPr>
          <t>Não se aplica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97" authorId="3" shapeId="0" xr:uid="{00000000-0006-0000-0500-000024000000}">
      <text>
        <r>
          <rPr>
            <sz val="10"/>
            <color indexed="81"/>
            <rFont val="Arial"/>
            <family val="2"/>
          </rPr>
          <t>Referência: Custo Mensal de Uniformes (vide planilha específica)</t>
        </r>
      </text>
    </comment>
    <comment ref="D98" authorId="3" shapeId="0" xr:uid="{00000000-0006-0000-0500-000025000000}">
      <text>
        <r>
          <rPr>
            <sz val="10"/>
            <color indexed="81"/>
            <rFont val="Arial"/>
            <family val="2"/>
          </rPr>
          <t>Referência: Custo Mensal de Materiais (vide planilha específica)</t>
        </r>
      </text>
    </comment>
    <comment ref="D99" authorId="3" shapeId="0" xr:uid="{00000000-0006-0000-0500-000026000000}">
      <text>
        <r>
          <rPr>
            <sz val="10"/>
            <color indexed="81"/>
            <rFont val="Arial"/>
            <family val="2"/>
          </rPr>
          <t>Referência: Custo Mensal de Equipamentos (vide planilha específica)</t>
        </r>
      </text>
    </comment>
    <comment ref="D104" authorId="2" shapeId="0" xr:uid="{00000000-0006-0000-0500-000027000000}">
      <text/>
    </comment>
    <comment ref="E104" authorId="4" shapeId="0" xr:uid="{00000000-0006-0000-0500-000028000000}">
      <text>
        <r>
          <rPr>
            <sz val="10"/>
            <color indexed="81"/>
            <rFont val="Arial"/>
            <family val="2"/>
          </rPr>
          <t>Custos indiretos incidem sobre o total de Remuneração + Benefícios + Encargos + Insumos (Módulos 1, 2, 3, 4 e 5)</t>
        </r>
      </text>
    </comment>
    <comment ref="D105" authorId="2" shapeId="0" xr:uid="{00000000-0006-0000-0500-000029000000}">
      <text/>
    </comment>
    <comment ref="E105" authorId="5" shapeId="0" xr:uid="{00000000-0006-0000-0500-00002A000000}">
      <text>
        <r>
          <rPr>
            <sz val="9"/>
            <color indexed="81"/>
            <rFont val="Segoe UI"/>
            <family val="2"/>
          </rPr>
          <t xml:space="preserve">Lucro incide sobre Módulos 1, 2, 3, 4, 5 e Custos Indiretos
</t>
        </r>
      </text>
    </comment>
    <comment ref="C106" authorId="2" shapeId="0" xr:uid="{00000000-0006-0000-0500-00002B000000}">
      <text>
        <r>
          <rPr>
            <sz val="10"/>
            <color indexed="81"/>
            <rFont val="Tahoma"/>
            <family val="2"/>
          </rPr>
          <t>O percentual de tributos é aplicado sobre o faturamento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7" authorId="2" shapeId="0" xr:uid="{00000000-0006-0000-0500-00002C000000}">
      <text>
        <r>
          <rPr>
            <sz val="10"/>
            <color indexed="81"/>
            <rFont val="Arial"/>
            <family val="2"/>
          </rPr>
          <t>Referência: Os tributos (COFINS e PIS) foram definidos utilizando o regime de tributação de LUCRO PRESUMIDO (Acórdão TCU 1753/2008-P).</t>
        </r>
        <r>
          <rPr>
            <b/>
            <sz val="10"/>
            <color indexed="81"/>
            <rFont val="Arial"/>
            <family val="2"/>
          </rPr>
          <t>A licitante deve elaborar sua proposta e, por conseguinte, sua planilha, com base no regime de tributação ao qual estará submetida durante a execução do contrato.</t>
        </r>
      </text>
    </comment>
    <comment ref="E107" authorId="2" shapeId="0" xr:uid="{00000000-0006-0000-0500-00002D000000}">
      <text>
        <r>
          <rPr>
            <sz val="10"/>
            <color indexed="81"/>
            <rFont val="Arial"/>
            <family val="2"/>
          </rPr>
          <t>Apuração do Coeficiente:
1-([Federais + Municipais]/100) = "Coeficiente"
Cálculo:
Faturamento/Coeficiente x Aliquota</t>
        </r>
      </text>
    </comment>
    <comment ref="D109" authorId="2" shapeId="0" xr:uid="{00000000-0006-0000-0500-00002E000000}">
      <text>
        <r>
          <rPr>
            <sz val="10"/>
            <color indexed="81"/>
            <rFont val="Arial"/>
            <family val="2"/>
          </rPr>
          <t xml:space="preserve">
</t>
        </r>
      </text>
    </comment>
    <comment ref="E109" authorId="2" shapeId="0" xr:uid="{00000000-0006-0000-0500-00002F000000}">
      <text>
        <r>
          <rPr>
            <sz val="10"/>
            <color indexed="81"/>
            <rFont val="Arial"/>
            <family val="2"/>
          </rPr>
          <t>Apuração do Coeficiente:
1-([Federais + Municipais]/100) = "Coeficiente"
Cálculo:
Faturamento/Coeficiente x Aliquota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FBS</author>
    <author/>
    <author>Luana</author>
    <author>fbrasil</author>
    <author>Franklin Brasil Santos</author>
    <author>Frank</author>
  </authors>
  <commentList>
    <comment ref="D4" authorId="0" shapeId="0" xr:uid="{00000000-0006-0000-0600-000001000000}">
      <text>
        <r>
          <rPr>
            <sz val="10"/>
            <color indexed="81"/>
            <rFont val="Arial"/>
            <family val="2"/>
          </rPr>
          <t>Uitlizar 15 dias conforme CCT.</t>
        </r>
      </text>
    </comment>
    <comment ref="D13" authorId="1" shapeId="0" xr:uid="{00000000-0006-0000-0600-000002000000}">
      <text>
        <r>
          <rPr>
            <sz val="10"/>
            <color indexed="8"/>
            <rFont val="Arial"/>
            <family val="2"/>
          </rPr>
          <t xml:space="preserve">CCT 2021
</t>
        </r>
      </text>
    </comment>
    <comment ref="D14" authorId="1" shapeId="0" xr:uid="{00000000-0006-0000-0600-000003000000}">
      <text>
        <r>
          <rPr>
            <sz val="10"/>
            <color indexed="8"/>
            <rFont val="Arial"/>
            <family val="2"/>
          </rPr>
          <t>Não se aplica</t>
        </r>
      </text>
    </comment>
    <comment ref="D15" authorId="1" shapeId="0" xr:uid="{00000000-0006-0000-0600-000004000000}">
      <text>
        <r>
          <rPr>
            <sz val="10"/>
            <color indexed="8"/>
            <rFont val="Arial"/>
            <family val="2"/>
          </rPr>
          <t>Não se aplica</t>
        </r>
      </text>
    </comment>
    <comment ref="D16" authorId="2" shapeId="0" xr:uid="{00000000-0006-0000-0600-000005000000}">
      <text>
        <r>
          <rPr>
            <sz val="10"/>
            <color indexed="81"/>
            <rFont val="Arial"/>
            <family val="2"/>
          </rPr>
          <t xml:space="preserve">30% o adicional
</t>
        </r>
      </text>
    </comment>
    <comment ref="D17" authorId="2" shapeId="0" xr:uid="{00000000-0006-0000-0600-000006000000}">
      <text>
        <r>
          <rPr>
            <sz val="10"/>
            <color indexed="81"/>
            <rFont val="Arial"/>
            <family val="2"/>
          </rPr>
          <t xml:space="preserve">60% de adicional sobre a hora noturna reduzida (1 HORA)
</t>
        </r>
      </text>
    </comment>
    <comment ref="D18" authorId="3" shapeId="0" xr:uid="{00000000-0006-0000-0600-000007000000}">
      <text>
        <r>
          <rPr>
            <sz val="10"/>
            <color indexed="81"/>
            <rFont val="Tahoma"/>
            <family val="2"/>
          </rPr>
          <t>Não se aplica</t>
        </r>
      </text>
    </comment>
    <comment ref="D19" authorId="0" shapeId="0" xr:uid="{00000000-0006-0000-0600-000008000000}">
      <text>
        <r>
          <rPr>
            <sz val="9"/>
            <color indexed="81"/>
            <rFont val="Tahoma"/>
            <family val="2"/>
          </rPr>
          <t>Não se aplica</t>
        </r>
      </text>
    </comment>
    <comment ref="D25" authorId="2" shapeId="0" xr:uid="{00000000-0006-0000-0600-000009000000}">
      <text>
        <r>
          <rPr>
            <sz val="10"/>
            <color indexed="81"/>
            <rFont val="Arial"/>
            <family val="2"/>
          </rPr>
          <t>1/12 da remuneração
Cálculo: 1/12 = 8,33% * Remuneração</t>
        </r>
      </text>
    </comment>
    <comment ref="D26" authorId="2" shapeId="0" xr:uid="{00000000-0006-0000-0600-00000A000000}">
      <text>
        <r>
          <rPr>
            <sz val="10"/>
            <color indexed="81"/>
            <rFont val="Arial"/>
            <family val="2"/>
          </rPr>
          <t>[1/12] de férias  + [(1/3) / 12] de adicional
Cálculo: 1/12 = 8,33% + (1/3/12 = 2,78%)  = 11,11% * Remuneração</t>
        </r>
      </text>
    </comment>
    <comment ref="E32" authorId="0" shapeId="0" xr:uid="{00000000-0006-0000-0600-00000B000000}">
      <text>
        <r>
          <rPr>
            <sz val="10"/>
            <color indexed="81"/>
            <rFont val="Arial"/>
            <family val="2"/>
          </rPr>
          <t>Art. 22, Inciso I, da Lei nº 8.212/91.</t>
        </r>
        <r>
          <rPr>
            <sz val="9"/>
            <color indexed="81"/>
            <rFont val="Tahoma"/>
            <family val="2"/>
          </rPr>
          <t xml:space="preserve">
(incide sobre a Remuneração (Módulo 1 + 13º e Férias (Submódulo2.1) )</t>
        </r>
      </text>
    </comment>
    <comment ref="E33" authorId="0" shapeId="0" xr:uid="{00000000-0006-0000-0600-00000C000000}">
      <text>
        <r>
          <rPr>
            <sz val="10"/>
            <color indexed="81"/>
            <rFont val="Arial"/>
            <family val="2"/>
          </rPr>
          <t>Art. 3º, Inciso I, Decreto n.º 87.043/82.
(incide sobre a Remuneração (Módulo 1 + 13º e Férias (Submódulo2.1) )</t>
        </r>
      </text>
    </comment>
    <comment ref="E34" authorId="4" shapeId="0" xr:uid="{00000000-0006-0000-0600-00000D000000}">
      <text>
        <r>
          <rPr>
            <sz val="10"/>
            <color indexed="81"/>
            <rFont val="Arial"/>
            <family val="2"/>
          </rPr>
          <t xml:space="preserve">RAT x FAP. 
1) RAT = 3% (Limpeza em prédios e em domicílios - código 8121-4/00 do Anexo V do Decreto n.º 3.048/1999). 
2) FAP = Máximo de Fator de Acidente Previdenciário = 2:
3% x 2 = 6% (maior valor possível)
</t>
        </r>
        <r>
          <rPr>
            <b/>
            <sz val="10"/>
            <color indexed="81"/>
            <rFont val="Arial"/>
            <family val="2"/>
          </rPr>
          <t>A empresa deve utilizar o seu FAP efetivo, a ser comprovado no envio de sua proposta adequada ao lance vencedor, mediante apresentação da GFIP ou outro documento apto a fazê-lo.</t>
        </r>
      </text>
    </comment>
    <comment ref="E35" authorId="0" shapeId="0" xr:uid="{00000000-0006-0000-0600-00000E000000}">
      <text>
        <r>
          <rPr>
            <sz val="10"/>
            <color indexed="81"/>
            <rFont val="Arial"/>
            <family val="2"/>
          </rPr>
          <t>Art. 3º, Lei n.º 8.036/90.
(incide sobre a Remuneração (Módulo 1 + 13º e Férias (Submódulo2.1) )</t>
        </r>
      </text>
    </comment>
    <comment ref="E36" authorId="0" shapeId="0" xr:uid="{00000000-0006-0000-0600-00000F000000}">
      <text>
        <r>
          <rPr>
            <sz val="10"/>
            <color indexed="81"/>
            <rFont val="Arial"/>
            <family val="2"/>
          </rPr>
          <t>Decreto n.º 2.318/86
(incide sobre a Remuneração (Módulo 1 + 13º e Férias (Submódulo2.1) )</t>
        </r>
      </text>
    </comment>
    <comment ref="E37" authorId="0" shapeId="0" xr:uid="{00000000-0006-0000-0600-000010000000}">
      <text>
        <r>
          <rPr>
            <sz val="10"/>
            <color indexed="81"/>
            <rFont val="Arial"/>
            <family val="2"/>
          </rPr>
          <t>Art. 8º, Lei n.º 8.029/90 e Lei n.º 8.154/90.
(incide sobre a Remuneração (Módulo 1 + 13º e Férias (Submódulo2.1) )</t>
        </r>
      </text>
    </comment>
    <comment ref="E38" authorId="0" shapeId="0" xr:uid="{00000000-0006-0000-0600-000011000000}">
      <text>
        <r>
          <rPr>
            <sz val="10"/>
            <color indexed="81"/>
            <rFont val="Arial"/>
            <family val="2"/>
          </rPr>
          <t>Lei n.º 7.787/89 e DL n.º 1.146/70.
(incide sobre a Remuneração (Módulo 1 + 13º e Férias (Submódulo2.1) )</t>
        </r>
      </text>
    </comment>
    <comment ref="E39" authorId="0" shapeId="0" xr:uid="{00000000-0006-0000-0600-000012000000}">
      <text>
        <r>
          <rPr>
            <sz val="10"/>
            <color indexed="81"/>
            <rFont val="Arial"/>
            <family val="2"/>
          </rPr>
          <t>Art. 15, Lei nº 8.030/90 e Art. 7º, III, CF.
(incide sobre a Remuneração (Módulo 1 + 13º e Férias (Submódulo2.1) )</t>
        </r>
      </text>
    </comment>
    <comment ref="D45" authorId="1" shapeId="0" xr:uid="{00000000-0006-0000-0600-000013000000}">
      <text>
        <r>
          <rPr>
            <sz val="10"/>
            <color indexed="8"/>
            <rFont val="Arial"/>
            <family val="2"/>
          </rPr>
          <t>(R$ 4,00
 (bilhete único) * 2/dia * Qtde dias trabalhados/mês) - (Salario Base * 6%)</t>
        </r>
      </text>
    </comment>
    <comment ref="D47" authorId="1" shapeId="0" xr:uid="{00000000-0006-0000-0600-000014000000}">
      <text>
        <r>
          <rPr>
            <sz val="10"/>
            <color indexed="8"/>
            <rFont val="Arial"/>
            <family val="2"/>
          </rPr>
          <t>Não se aplica</t>
        </r>
      </text>
    </comment>
    <comment ref="D48" authorId="1" shapeId="0" xr:uid="{00000000-0006-0000-0600-000015000000}">
      <text>
        <r>
          <rPr>
            <sz val="10"/>
            <color indexed="8"/>
            <rFont val="Arial"/>
            <family val="2"/>
          </rPr>
          <t>Não se aplica</t>
        </r>
      </text>
    </comment>
    <comment ref="D51" authorId="0" shapeId="0" xr:uid="{00000000-0006-0000-0600-000016000000}">
      <text>
        <r>
          <rPr>
            <sz val="9"/>
            <color indexed="81"/>
            <rFont val="Tahoma"/>
            <family val="2"/>
          </rPr>
          <t xml:space="preserve">A intrajornada com a mudança da CLT EM 2017 deixou de ter efeito remuneratório, saindo do módulo 1 letra G. Usa-se a porcentagem de 50% no cálculo da INTRAJORNADA , CONFORME CLT.
</t>
        </r>
      </text>
    </comment>
    <comment ref="D63" authorId="2" shapeId="0" xr:uid="{00000000-0006-0000-0600-000017000000}">
      <text>
        <r>
          <rPr>
            <sz val="10"/>
            <color indexed="81"/>
            <rFont val="Arial"/>
            <family val="2"/>
          </rPr>
          <t>{[0,05 x (1/12)] x100} = 0,417%
Considerando 5% de empregados substituídos durante o contrato</t>
        </r>
      </text>
    </comment>
    <comment ref="D64" authorId="0" shapeId="0" xr:uid="{00000000-0006-0000-0600-000018000000}">
      <text>
        <r>
          <rPr>
            <sz val="10"/>
            <color indexed="81"/>
            <rFont val="Arial"/>
            <family val="2"/>
          </rPr>
          <t>Aviso prévio indenizado * Percentual FGTS</t>
        </r>
      </text>
    </comment>
    <comment ref="D65" authorId="2" shapeId="0" xr:uid="{00000000-0006-0000-0600-000019000000}">
      <text>
        <r>
          <rPr>
            <sz val="10"/>
            <color indexed="81"/>
            <rFont val="Arial"/>
            <family val="2"/>
          </rPr>
          <t>Remuneração * (8% de FGTS) * 50% de multa do FGTS * 5% de funcionários demitidos com aviso prévio indenizado</t>
        </r>
      </text>
    </comment>
    <comment ref="D66" authorId="2" shapeId="0" xr:uid="{00000000-0006-0000-0600-00001A000000}">
      <text>
        <r>
          <rPr>
            <sz val="10"/>
            <color indexed="81"/>
            <rFont val="Arial"/>
            <family val="2"/>
          </rPr>
          <t xml:space="preserve">{[(7/30)/12]x100} = 1,944%
7 dias de folga / 30 dias / 12 meses (vigência inicial do contrato) = provisão mensal para esse item de custo * remuneração mensal
</t>
        </r>
        <r>
          <rPr>
            <b/>
            <sz val="10"/>
            <color indexed="81"/>
            <rFont val="Arial"/>
            <family val="2"/>
          </rPr>
          <t>REVER NA PRORROGAÇÃO</t>
        </r>
      </text>
    </comment>
    <comment ref="D67" authorId="0" shapeId="0" xr:uid="{00000000-0006-0000-0600-00001B000000}">
      <text>
        <r>
          <rPr>
            <sz val="10"/>
            <color indexed="81"/>
            <rFont val="Arial"/>
            <family val="2"/>
          </rPr>
          <t xml:space="preserve">Aviso prévio trabalhado * Percentual Total do Submódulo 2.2
</t>
        </r>
      </text>
    </comment>
    <comment ref="D68" authorId="2" shapeId="0" xr:uid="{00000000-0006-0000-0600-00001C000000}">
      <text>
        <r>
          <rPr>
            <sz val="10"/>
            <color indexed="81"/>
            <rFont val="Arial"/>
            <family val="2"/>
          </rPr>
          <t>Remuneração * (8% de FGTS) * 50% de multa do FGTS * 95% (considerando que 5% já foi calculado como Aviso Prévio Indenizado)</t>
        </r>
      </text>
    </comment>
    <comment ref="D74" authorId="2" shapeId="0" xr:uid="{00000000-0006-0000-0600-00001D000000}">
      <text>
        <r>
          <rPr>
            <sz val="10"/>
            <color indexed="81"/>
            <rFont val="Arial"/>
            <family val="2"/>
          </rPr>
          <t>Provisão de 1 mês de [férias + adicional de férias + 13º] do funcionário substituto quando o titular sai de férias
Cálculo: (11,11% + 8,33%)/12 = 1,62% sobre a Remuneração</t>
        </r>
      </text>
    </comment>
    <comment ref="D75" authorId="2" shapeId="0" xr:uid="{00000000-0006-0000-0600-00001E000000}">
      <text>
        <r>
          <rPr>
            <sz val="10"/>
            <color indexed="81"/>
            <rFont val="Arial"/>
            <family val="2"/>
          </rPr>
          <t>Acordao TCU 1753-2008: Calcula, segundo estimativas do MPOG, em 2,96 dias por ano as ausências legais, calculando em 0,73% o impacto</t>
        </r>
      </text>
    </comment>
    <comment ref="D76" authorId="2" shapeId="0" xr:uid="{00000000-0006-0000-0600-00001F000000}">
      <text>
        <r>
          <rPr>
            <sz val="10"/>
            <color indexed="81"/>
            <rFont val="Arial"/>
            <family val="2"/>
          </rPr>
          <t>Manual de Preenchimento de 
Planilhas do MPOG 2011 (pg 27): 0,02%</t>
        </r>
      </text>
    </comment>
    <comment ref="D77" authorId="2" shapeId="0" xr:uid="{00000000-0006-0000-0600-000020000000}">
      <text>
        <r>
          <rPr>
            <sz val="10"/>
            <color indexed="81"/>
            <rFont val="Arial"/>
            <family val="2"/>
          </rPr>
          <t>Manual de Preenchimento de Planilhas do MPOG 2011 (pg 28): 0,03%</t>
        </r>
      </text>
    </comment>
    <comment ref="D78" authorId="2" shapeId="0" xr:uid="{00000000-0006-0000-0600-000021000000}">
      <text>
        <r>
          <rPr>
            <sz val="10"/>
            <color indexed="81"/>
            <rFont val="Arial"/>
            <family val="2"/>
          </rPr>
          <t>Referência: Manual de Preenchimento de Planilha MPOG 2011, pg 23 e 54
Custos do empregador durante a licença-maternidade: 
"férias, adicional de férias, 13º salário, encargos previdenciários, FGTS"
Considerando 90% de proporção de mulheres no cargo (histórico de contratos anteriores)
Cálculo: (Férias + Adicional Férias + 13º) * 4 meses de licença * 90% de mulheres na atividade * (6,24% de taxa de fecundidade anual) / 12 meses (provisão mensal)</t>
        </r>
      </text>
    </comment>
    <comment ref="D79" authorId="2" shapeId="0" xr:uid="{00000000-0006-0000-0600-000022000000}">
      <text>
        <r>
          <rPr>
            <sz val="10"/>
            <color indexed="81"/>
            <rFont val="Arial"/>
            <family val="2"/>
          </rPr>
          <t>Manual de Preenchimento de Planilhas do MPOG 2011 (pg 27): 1,66%</t>
        </r>
      </text>
    </comment>
    <comment ref="D81" authorId="0" shapeId="0" xr:uid="{00000000-0006-0000-0600-000023000000}">
      <text>
        <r>
          <rPr>
            <sz val="10"/>
            <color indexed="81"/>
            <rFont val="Arial"/>
            <family val="2"/>
          </rPr>
          <t>Soma do Custo de Reposição * Percentual total de submódulo 2.2</t>
        </r>
      </text>
    </comment>
    <comment ref="D86" authorId="5" shapeId="0" xr:uid="{00000000-0006-0000-0600-000024000000}">
      <text>
        <r>
          <rPr>
            <b/>
            <sz val="9"/>
            <color indexed="81"/>
            <rFont val="Segoe UI"/>
            <family val="2"/>
          </rPr>
          <t>Não se aplica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97" authorId="3" shapeId="0" xr:uid="{00000000-0006-0000-0600-000025000000}">
      <text>
        <r>
          <rPr>
            <sz val="10"/>
            <color indexed="81"/>
            <rFont val="Arial"/>
            <family val="2"/>
          </rPr>
          <t>Referência: Custo Mensal de Uniformes (vide planilha específica)</t>
        </r>
      </text>
    </comment>
    <comment ref="D98" authorId="3" shapeId="0" xr:uid="{00000000-0006-0000-0600-000026000000}">
      <text>
        <r>
          <rPr>
            <sz val="10"/>
            <color indexed="81"/>
            <rFont val="Arial"/>
            <family val="2"/>
          </rPr>
          <t>Referência: Custo Mensal de Materiais (vide planilha específica)</t>
        </r>
      </text>
    </comment>
    <comment ref="D99" authorId="3" shapeId="0" xr:uid="{00000000-0006-0000-0600-000027000000}">
      <text>
        <r>
          <rPr>
            <sz val="10"/>
            <color indexed="81"/>
            <rFont val="Arial"/>
            <family val="2"/>
          </rPr>
          <t>Referência: Custo Mensal de Equipamentos (vide planilha específica)</t>
        </r>
      </text>
    </comment>
    <comment ref="D104" authorId="2" shapeId="0" xr:uid="{00000000-0006-0000-0600-000028000000}">
      <text>
        <r>
          <rPr>
            <sz val="10"/>
            <color indexed="81"/>
            <rFont val="Arial"/>
            <family val="2"/>
          </rPr>
          <t>Referência: Caderno Técnico SEGES/MP (VIGILÂNCIA PI- 2017)
Para a obtenção do preço de referência para contratação de um posto de serviço, é necessário acrescentar ao Custo Total do empregado os Custos Indiretos, Tributos e Lucro. O percentual referente ao CITL utilizados tem por base a metodologia adotada pela FIA em estudos desenvolvidos em 2014/2015
Os índices utilizados pela FIA para o cálculo do CITL tem origem nos estudos elaborados pelo Governo do Estado de SP, Ministério Público e Supremo Tribunal Federal sem, contudo, serem limitadores.    No contrato atual pratica-se 2 %</t>
        </r>
      </text>
    </comment>
    <comment ref="E104" authorId="4" shapeId="0" xr:uid="{00000000-0006-0000-0600-000029000000}">
      <text>
        <r>
          <rPr>
            <sz val="10"/>
            <color indexed="81"/>
            <rFont val="Arial"/>
            <family val="2"/>
          </rPr>
          <t>Custos indiretos incidem sobre o total de Remuneração + Benefícios + Encargos + Insumos (Módulos 1, 2, 3, 4 e 5)</t>
        </r>
      </text>
    </comment>
    <comment ref="D105" authorId="2" shapeId="0" xr:uid="{00000000-0006-0000-0600-00002A000000}">
      <text>
        <r>
          <rPr>
            <sz val="10"/>
            <color indexed="81"/>
            <rFont val="Arial"/>
            <family val="2"/>
          </rPr>
          <t>Referência: Caderno Técnico SEGES/MP (VIGILÂNCIA PI- 2017)
Para a obtenção do preço de referência para contratação de um posto de serviço, é necessário acrescentar ao Custo Total do empregado os Custos Indiretos, Tributos e Lucro. O percentual referente ao CITL utilizados tem por base a metodologia adotada pela FIA em estudos desenvolvidos em 2014/2015
Os índices utilizados pela FIA para o cálculo do CITL tem origem nos estudos elaborados pelo Governo do Estado de SP, Ministério Público e Supremo Tribunal Federal sem, contudo, serem limitadores.    No contrato atual pratica-se 1,50 %</t>
        </r>
      </text>
    </comment>
    <comment ref="E105" authorId="5" shapeId="0" xr:uid="{00000000-0006-0000-0600-00002B000000}">
      <text>
        <r>
          <rPr>
            <sz val="9"/>
            <color indexed="81"/>
            <rFont val="Segoe UI"/>
            <family val="2"/>
          </rPr>
          <t xml:space="preserve">Lucro incide sobre Módulos 1, 2, 3, 4, 5 e Custos Indiretos
</t>
        </r>
      </text>
    </comment>
    <comment ref="C106" authorId="2" shapeId="0" xr:uid="{00000000-0006-0000-0600-00002C000000}">
      <text>
        <r>
          <rPr>
            <sz val="10"/>
            <color indexed="81"/>
            <rFont val="Tahoma"/>
            <family val="2"/>
          </rPr>
          <t>O percentual de tributos é aplicado sobre o faturamento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7" authorId="2" shapeId="0" xr:uid="{00000000-0006-0000-0600-00002D000000}">
      <text>
        <r>
          <rPr>
            <sz val="10"/>
            <color indexed="81"/>
            <rFont val="Arial"/>
            <family val="2"/>
          </rPr>
          <t>Referência: Os tributos (COFINS e PIS) foram definidos utilizando o regime de tributação de LUCRO PRESUMIDO (Acórdão TCU 1753/2008-P).</t>
        </r>
        <r>
          <rPr>
            <b/>
            <sz val="10"/>
            <color indexed="81"/>
            <rFont val="Arial"/>
            <family val="2"/>
          </rPr>
          <t>A licitante deve elaborar sua proposta e, por conseguinte, sua planilha, com base no regime de tributação ao qual estará submetida durante a execução do contrato.</t>
        </r>
      </text>
    </comment>
    <comment ref="E107" authorId="2" shapeId="0" xr:uid="{00000000-0006-0000-0600-00002E000000}">
      <text>
        <r>
          <rPr>
            <sz val="10"/>
            <color indexed="81"/>
            <rFont val="Arial"/>
            <family val="2"/>
          </rPr>
          <t>Apuração do Coeficiente:
1-([Federais + Municipais]/100) = "Coeficiente"
Cálculo:
Faturamento/Coeficiente x Aliquota</t>
        </r>
      </text>
    </comment>
    <comment ref="D109" authorId="2" shapeId="0" xr:uid="{00000000-0006-0000-0600-00002F000000}">
      <text>
        <r>
          <rPr>
            <sz val="10"/>
            <color indexed="81"/>
            <rFont val="Arial"/>
            <family val="2"/>
          </rPr>
          <t xml:space="preserve">
</t>
        </r>
      </text>
    </comment>
    <comment ref="E109" authorId="2" shapeId="0" xr:uid="{00000000-0006-0000-0600-000030000000}">
      <text>
        <r>
          <rPr>
            <sz val="10"/>
            <color indexed="81"/>
            <rFont val="Arial"/>
            <family val="2"/>
          </rPr>
          <t>Apuração do Coeficiente:
1-([Federais + Municipais]/100) = "Coeficiente"
Cálculo:
Faturamento/Coeficiente x Aliquota</t>
        </r>
      </text>
    </comment>
  </commentList>
</comments>
</file>

<file path=xl/sharedStrings.xml><?xml version="1.0" encoding="utf-8"?>
<sst xmlns="http://schemas.openxmlformats.org/spreadsheetml/2006/main" count="650" uniqueCount="253">
  <si>
    <t xml:space="preserve">Processo nº: </t>
  </si>
  <si>
    <t xml:space="preserve">Licitação nº: </t>
  </si>
  <si>
    <t>A</t>
  </si>
  <si>
    <t>Data de apresentação da proposta (dia/mês/ano)</t>
  </si>
  <si>
    <t>B</t>
  </si>
  <si>
    <t>Município/ UF</t>
  </si>
  <si>
    <t>C</t>
  </si>
  <si>
    <t>Ano Acordo, Convenção ou Sentença Normativa em Dissídio Coletivo</t>
  </si>
  <si>
    <t>D</t>
  </si>
  <si>
    <t>Nº de meses de execução contratual</t>
  </si>
  <si>
    <t>MÃO-DE-OBRA VINCULADA À EXECUÇÃO CONTRATUAL</t>
  </si>
  <si>
    <t>Dados para composição dos custos referentes a mão de obra</t>
  </si>
  <si>
    <t>Tipo de serviço</t>
  </si>
  <si>
    <t>Dias trabalhados por mês</t>
  </si>
  <si>
    <t>Classificação Brasileira de Ocupações (CBO)</t>
  </si>
  <si>
    <t>Salário Normativo da Categoria Profissional</t>
  </si>
  <si>
    <t xml:space="preserve">Categoria profissional </t>
  </si>
  <si>
    <t>Data base da categoria</t>
  </si>
  <si>
    <t>MÓDULO 1 : COMPOSIÇÃO DA REMUNERAÇÃO</t>
  </si>
  <si>
    <t>Composição da Remuneração</t>
  </si>
  <si>
    <t>Valor(R$)</t>
  </si>
  <si>
    <t>Salário Base</t>
  </si>
  <si>
    <t>Adicional de Periculosidade</t>
  </si>
  <si>
    <t>Adicional de Insalubridade</t>
  </si>
  <si>
    <t>Adicional Noturno</t>
  </si>
  <si>
    <t>E</t>
  </si>
  <si>
    <t>Hora Noturna Reduzida</t>
  </si>
  <si>
    <t>F</t>
  </si>
  <si>
    <t>Hora Extra</t>
  </si>
  <si>
    <t>G</t>
  </si>
  <si>
    <t>Outros</t>
  </si>
  <si>
    <t>Total de Remuneração</t>
  </si>
  <si>
    <t>MÓDULO 2: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</si>
  <si>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</si>
  <si>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</si>
  <si>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</si>
  <si>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Valor (R$)</t>
  </si>
  <si>
    <t>13º (décimo terceiro) Salário</t>
  </si>
  <si>
    <t>Férias e Adicional de Férias</t>
  </si>
  <si>
    <t>Total</t>
  </si>
  <si>
    <t>Submódulo 2.2 - Encargos Previdenciários (GPS), Fundo de Garantia por Tempo de Serviço (FGTS) e outras contribuições</t>
  </si>
  <si>
    <t>2.2</t>
  </si>
  <si>
    <t>GPS, FGTS e outras contribuições</t>
  </si>
  <si>
    <t>%</t>
  </si>
  <si>
    <t>INSS</t>
  </si>
  <si>
    <t>Salário Educação</t>
  </si>
  <si>
    <t>Seguro acidente do trabalho</t>
  </si>
  <si>
    <t>SESI ou SESC</t>
  </si>
  <si>
    <t>SENAI ou SENAC</t>
  </si>
  <si>
    <t>SEBRAE</t>
  </si>
  <si>
    <t>INCRA</t>
  </si>
  <si>
    <t>H</t>
  </si>
  <si>
    <t>FGTS</t>
  </si>
  <si>
    <t>TOTAL</t>
  </si>
  <si>
    <t>Submódulo 2.3 - Benefícios Mensais e Diários</t>
  </si>
  <si>
    <t>2.3</t>
  </si>
  <si>
    <t>Benefícios Mensais e Diários</t>
  </si>
  <si>
    <t>Transporte</t>
  </si>
  <si>
    <t>Auxílio Alimentação</t>
  </si>
  <si>
    <t>Intrajornada</t>
  </si>
  <si>
    <t>Prêmio Assiduidade</t>
  </si>
  <si>
    <t>Auxílio Saúde</t>
  </si>
  <si>
    <t>Seguro de Vida em Grupo</t>
  </si>
  <si>
    <t>Total de Benefícios Mensais e Diários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</si>
  <si>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</si>
  <si>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</si>
  <si>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</si>
  <si>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</si>
  <si>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</si>
  <si>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</si>
  <si>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do aviso prévio indenizado</t>
  </si>
  <si>
    <t>Aviso prévio trabalhado</t>
  </si>
  <si>
    <t>Incidência do submódulo 2.2 sobre o Aviso Prévio Trabalhado</t>
  </si>
  <si>
    <t>Multa do FGTS do aviso prévio trabalhado</t>
  </si>
  <si>
    <t>Módulo 4 - Custo de Reposição do Profissional Ausente</t>
  </si>
  <si>
    <t>Submódulo 4.1 - Ausências Legais</t>
  </si>
  <si>
    <t>4.1</t>
  </si>
  <si>
    <t>Ausências legais</t>
  </si>
  <si>
    <t>Férias</t>
  </si>
  <si>
    <t>Licença paternidade</t>
  </si>
  <si>
    <t>Ausência por Acidente de trabalho</t>
  </si>
  <si>
    <t>Afastamento maternidade</t>
  </si>
  <si>
    <t>Ausência por doença</t>
  </si>
  <si>
    <t>Incidência do submódulo 2.2 sobre o Custo de reposição</t>
  </si>
  <si>
    <t>Submódulo 4.2 - Intrajornada</t>
  </si>
  <si>
    <t>4.2</t>
  </si>
  <si>
    <t>Intervalo para repouso ou alimentação</t>
  </si>
  <si>
    <t>Quadro-Resumo do Módulo 4 - Custo de Reposição do Profissional Ausente</t>
  </si>
  <si>
    <t>Custo de reposição</t>
  </si>
  <si>
    <t>MÓDULO 5: INSUMOS DIVERSOS</t>
  </si>
  <si>
    <t>Insumos Diversos</t>
  </si>
  <si>
    <t>Uniformes</t>
  </si>
  <si>
    <t>Materiais</t>
  </si>
  <si>
    <t>Equipamentos</t>
  </si>
  <si>
    <t>Total de Insumos Diversos</t>
  </si>
  <si>
    <t>MÓDULO 6: CUSTOS INDIRETOS, TRIBUTOS E LUCRO</t>
  </si>
  <si>
    <t>Custos Indiretos, Tributos e Lucro</t>
  </si>
  <si>
    <t>Custos Indiretos</t>
  </si>
  <si>
    <t>Lucro</t>
  </si>
  <si>
    <t>Tributos</t>
  </si>
  <si>
    <t>C.2) Tributos Estaduais (especificar)</t>
  </si>
  <si>
    <t>C.3) Tributos Municipais (ISS = 5,0%)</t>
  </si>
  <si>
    <t>C.4) Outros tributos (especificar)</t>
  </si>
  <si>
    <t>Quadro-resumo do Custo por Empregado</t>
  </si>
  <si>
    <t>Mão-de-obra vinculada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</si>
  <si>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</si>
  <si>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</si>
  <si>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</si>
  <si>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5 - Insumos Diversos</t>
  </si>
  <si>
    <t>Subtotal (A + B +C+ D+E)</t>
  </si>
  <si>
    <t>Módulo 6 – Custos Indiretos, Tributos e Lucro</t>
  </si>
  <si>
    <t>Valor total por empregado</t>
  </si>
  <si>
    <t>FATOR K</t>
  </si>
  <si>
    <t>Camisa</t>
  </si>
  <si>
    <t>Crachá</t>
  </si>
  <si>
    <t>MEDIDA</t>
  </si>
  <si>
    <t>QUANT.</t>
  </si>
  <si>
    <t>VLR UNITÁRIO</t>
  </si>
  <si>
    <t>DEPRECIAÇÃO
(Residual 20%)</t>
  </si>
  <si>
    <t>VLR MENSAL</t>
  </si>
  <si>
    <t>VALOR TOTAL MENSAL</t>
  </si>
  <si>
    <t xml:space="preserve"> </t>
  </si>
  <si>
    <t>Tipo</t>
  </si>
  <si>
    <t>und</t>
  </si>
  <si>
    <t>Quant.</t>
  </si>
  <si>
    <t>Especificações – A quantidade está de acordo com inicial semestral a média de durabilidade.</t>
  </si>
  <si>
    <t>PREÇO UNITÁRIO R$</t>
  </si>
  <si>
    <t>PREÇO TOTAL R$</t>
  </si>
  <si>
    <t>Calça tática</t>
  </si>
  <si>
    <t>Und.</t>
  </si>
  <si>
    <t>Em tecido rip stop-vigilante</t>
  </si>
  <si>
    <t>Mangas curtas, 100% algodão</t>
  </si>
  <si>
    <t>Bota</t>
  </si>
  <si>
    <t>par</t>
  </si>
  <si>
    <t>Tipo coturno-vigilante</t>
  </si>
  <si>
    <t>Meia</t>
  </si>
  <si>
    <t>Tipo social-cor preta</t>
  </si>
  <si>
    <t>Cinto</t>
  </si>
  <si>
    <t>Tipo tático de nylon, fivela de metal, c/ garra regulável apropriado p/ receber coldre</t>
  </si>
  <si>
    <t>Quepe</t>
  </si>
  <si>
    <t>Padrão da empresa com logotipo</t>
  </si>
  <si>
    <t>Capa do colete balístico</t>
  </si>
  <si>
    <t>Equipamento de uso individual do vigilante confeccionado em rip stop</t>
  </si>
  <si>
    <t>Coldre de perna</t>
  </si>
  <si>
    <t>Feito em nylon e com sistema de fixação ao cinto tático</t>
  </si>
  <si>
    <t>Confeccionado em nylon c/ capacidade p/no mínimo 6 munições</t>
  </si>
  <si>
    <t>Apito com cordão</t>
  </si>
  <si>
    <t>Equipamento de uso individual do vigilante</t>
  </si>
  <si>
    <t>Revolver calibre 38</t>
  </si>
  <si>
    <t>Munição calibre 38</t>
  </si>
  <si>
    <t>Placa balística</t>
  </si>
  <si>
    <t>Capa de chuva plástica</t>
  </si>
  <si>
    <t>Lanterna c/ bateria recarregável</t>
  </si>
  <si>
    <t>Livro de ocorrências</t>
  </si>
  <si>
    <t>Vigilante - Teresina Diurno</t>
  </si>
  <si>
    <t>VIGILANCIA ARMADA.12X36 DIURNA</t>
  </si>
  <si>
    <t>Outros - Intrajornada Diurna</t>
  </si>
  <si>
    <t>QUANTIDADE DE VIGILANTES</t>
  </si>
  <si>
    <t>TOTAL ANUAL POR VIGILANTE:  R$</t>
  </si>
  <si>
    <t>TOTAL MENSAL POR VIGILANTE:  R$</t>
  </si>
  <si>
    <t>C.1) Tributos Federais (PIS = 0,65% e COFINS = 3%)</t>
  </si>
  <si>
    <t>Vigilante - Teresina Noturno</t>
  </si>
  <si>
    <t>Outros -</t>
  </si>
  <si>
    <t>VLR TOTAL</t>
  </si>
  <si>
    <t>QUANTIDADE DE MESES</t>
  </si>
  <si>
    <t>Tipo de Serviço (A)</t>
  </si>
  <si>
    <t>Valor Proposto por Empregado (B)</t>
  </si>
  <si>
    <t>Qtde. de Empregados por Posto (C )</t>
  </si>
  <si>
    <t>Valor Proposto por Posto (D) = (B x C)</t>
  </si>
  <si>
    <t>Qtde. de Postos (E)</t>
  </si>
  <si>
    <t>QUADRO DEMONSTRATIVO DO VALOR GLOBAL DA PROPOSTA</t>
  </si>
  <si>
    <t>VALOR GLOBAL DA PROPOSTA</t>
  </si>
  <si>
    <t xml:space="preserve">DESCRIÇÃO </t>
  </si>
  <si>
    <t>VALOR</t>
  </si>
  <si>
    <t>Valor mensal do serviço</t>
  </si>
  <si>
    <t>Número de meses de execução contratual</t>
  </si>
  <si>
    <t>Valor global da proposta Ano (Valor Mensal x Meses de Execução)</t>
  </si>
  <si>
    <t>VALOR TOTAL ANO</t>
  </si>
  <si>
    <t>DISCRIMINAÇÃO DOS SERVIÇOS DE VIGILÂNCIA (DADOS REFERENTES À CONTRATAÇÃO)</t>
  </si>
  <si>
    <t>DESCRIÇÃO DOS MATERIAIS</t>
  </si>
  <si>
    <t>DESCRIÇÃO DOS EQUIPAMENTOS</t>
  </si>
  <si>
    <t>VALOR MENSAL EQUIPAMENTOS POR VIGILANTE</t>
  </si>
  <si>
    <t>VALOR MENSAL MATERIAIS POR  VIGILANTE</t>
  </si>
  <si>
    <t>5173-30</t>
  </si>
  <si>
    <t>VIGILANCIA ARMADA.12X36 NOTURNO</t>
  </si>
  <si>
    <t>Sub Total</t>
  </si>
  <si>
    <t>13º (décimo terceiro) Salário e Adicional de Férias</t>
  </si>
  <si>
    <t xml:space="preserve">Incidencia dos encargos do submódulo 2..2 sobre 13º e adicional de férias. </t>
  </si>
  <si>
    <r>
      <t xml:space="preserve">Férias </t>
    </r>
    <r>
      <rPr>
        <b/>
        <sz val="10"/>
        <rFont val="Arial"/>
        <family val="2"/>
      </rPr>
      <t>- (1,62%</t>
    </r>
    <r>
      <rPr>
        <sz val="10"/>
        <rFont val="Arial"/>
        <family val="2"/>
      </rPr>
      <t>)</t>
    </r>
  </si>
  <si>
    <t>Outros - Intrajornada</t>
  </si>
  <si>
    <t>Uniforme padrão da empresa para 1 vigilante</t>
  </si>
  <si>
    <t>13º (décimo terceiro) Salário - 8,33%</t>
  </si>
  <si>
    <t>Férias e Adicional de Férias - 11,11%</t>
  </si>
  <si>
    <t>1/12 da remuneração/Cálculo: 1/12 = 8,33% * Remuneração</t>
  </si>
  <si>
    <t>[1/12] de férias  + [(1/3) / 12] de adicional / Cálculo: 1/12 = 8,33% + (1/3/12 = 2,78%)  = 11,11% * Remuneração</t>
  </si>
  <si>
    <t>Art. 22, Inciso I, da Lei nº 8.212/91./ (incide sobre a Remuneração (Módulo 1 + 13º e Férias (Submódulo2.1) )</t>
  </si>
  <si>
    <t>Art. 3º, Inciso I, Decreto n.º 87.043/82./ (incide sobre a Remuneração (Módulo 1 + 13º e Férias (Submódulo2.1) )</t>
  </si>
  <si>
    <r>
      <t>RAT x FAP. / 1) RAT = 3% (Limpeza em prédios e em domicílios - código 8121-4/00 do Anexo V do Decreto n.º 3.048/1999). / 2) FAP = Máximo de Fator de Acidente Previdenciário = 2:/ 3% x 2 = 6% (maior valor possível) -</t>
    </r>
    <r>
      <rPr>
        <b/>
        <sz val="10"/>
        <rFont val="Arial"/>
        <family val="2"/>
      </rPr>
      <t xml:space="preserve"> A empresa deve utilizar o seu FAP efetivo, a ser comprovado no envio de sua proposta adequada ao lance vencedor, mediante apresentação da GFIP ou outro documento apto a fazê-lo</t>
    </r>
    <r>
      <rPr>
        <sz val="10"/>
        <rFont val="Arial"/>
        <family val="2"/>
      </rPr>
      <t>.</t>
    </r>
  </si>
  <si>
    <t>Art. 3º, Lei n.º 8.036/90. / (incide sobre a Remuneração (Módulo 1 + 13º e Férias (Submódulo2.1) )</t>
  </si>
  <si>
    <t>Decreto n.º 2.318/86 / (incide sobre a Remuneração (Módulo 1 + 13º e Férias (Submódulo2.1) )</t>
  </si>
  <si>
    <t>Art. 8º, Lei n.º 8.029/90 e Lei n.º 8.154/90 - (incide sobre a Remuneração (Módulo 1 + 13º e Férias (Submódulo2.1) )</t>
  </si>
  <si>
    <t>Lei n.º 7.787/89 e DL n.º 1.146/70. - (incide sobre a Remuneração (Módulo 1 + 13º e Férias (Submódulo2.1) )</t>
  </si>
  <si>
    <t>Art. 15, Lei nº 8.030/90 e Art. 7º, III, CF. - (incide sobre a Remuneração (Módulo 1 + 13º e Férias (Submódulo2.1) )</t>
  </si>
  <si>
    <t>(R$ 4,00 (bilhete único) * 2/dia * Qtde dias trabalhados/mês) - (Salario Base * 6%)</t>
  </si>
  <si>
    <t>Não se aplica</t>
  </si>
  <si>
    <t>A intrajornada com a mudança da CLT EM 2017 deixou de ter efeito remuneratório, saindo do módulo 1 letra G. Usa-se a porcentagem de 50% no cálculo da INTRAJORNADA , CONFORME CLT.</t>
  </si>
  <si>
    <t>{[0,05 x (1/12)] x100} = 0,417% Considerando 5% de empregados substituídos durante o contrato</t>
  </si>
  <si>
    <t>Aviso prévio indenizado * Percentual FGTS</t>
  </si>
  <si>
    <t>Remuneração * 3,2%</t>
  </si>
  <si>
    <t>{[(7/30)/12]x100} = 1,944% 7 dias de folga / 30 dias / 12 meses (vigência inicial do contrato) = provisão mensal para esse item de custo * remuneração mensal REVER NA PRORROGAÇÃO</t>
  </si>
  <si>
    <t>Aviso prévio trabalhado * Percentual Total do Submódulo 2.2</t>
  </si>
  <si>
    <t>Remuneração *0,80%</t>
  </si>
  <si>
    <t>Provisão de 1 mês de [férias + adicional de férias + 13º] do funcionário substituto quando o titular sai de férias Cálculo: (11,11% + 8,33%)/12 = 1,62% sobre a Remuneração</t>
  </si>
  <si>
    <t>Acordao TCU 1753-2008: Calcula, segundo estimativas do MPOG, em 2,96 dias por ano as ausências legais, calculando em 0,82 % o impacto</t>
  </si>
  <si>
    <t>Manual de Preenchimento de Planilhas do MPOG 2011 (pg 27): 0,02%</t>
  </si>
  <si>
    <t>Manual de Preenchimento de Planilhas do MPOG 2011 (pg 28): 0,03%</t>
  </si>
  <si>
    <t>Referência: Manual de Preenchimento de Planilha MPOG 2011, pg 23 e 55 Custos do empregador durante a licença-maternidade: "férias, adicional de férias, 13º salário, encargos previdenciários, FGTS"  / Considerando 90% de proporção de mulheres no cargo (histórico de contratos anteriores) / Cálculo: (Férias + Adicional Férias + 13º) * 4 meses de licença * 90% de mulheres na atividade * (6,24% de taxa de fecundidade anual) / 12 meses (provisão mensal)</t>
  </si>
  <si>
    <t>Manual de Preenchimento de Planilhas do MPOG 2011 (pg 27): 1,66%</t>
  </si>
  <si>
    <t>Soma do Custo de Reposição * Percentual total de submódulo 2.2</t>
  </si>
  <si>
    <t>Referência: Custo Mensal de Uniformes (vide planilha específica)</t>
  </si>
  <si>
    <t>Referência: Custo Mensal de Materiais (vide planilha específica)</t>
  </si>
  <si>
    <t>Referência: Custo Mensal de Equipamentos (vide planilha específica)</t>
  </si>
  <si>
    <t>Custos indiretos incidem sobre o total de Remuneração + Benefícios + Encargos + Insumos (Módulos 1, 2, 3, 4 e 5)</t>
  </si>
  <si>
    <t>Lucro incide sobre Módulos 1, 2, 3, 4, 5 e Custos Indiretos</t>
  </si>
  <si>
    <t>Apuração do Coeficiente: 1-([Federais + Municipais]/100) = "Coeficiente" Cálculo: Faturamento/Coeficiente x Aliquota</t>
  </si>
  <si>
    <t>Valor total mensal por posto =  valor mensal por empregado x 02 empregados</t>
  </si>
  <si>
    <t>Total de postos</t>
  </si>
  <si>
    <t>Valor Mensal</t>
  </si>
  <si>
    <t>QUADRO-RESUMO DO VALOR MENSAL DOS SERVIÇOS</t>
  </si>
  <si>
    <t>QUADRO DEMONSTRATIVO DO VALOR MENSAL DA PROPOSTA</t>
  </si>
  <si>
    <t>DESCRIÇÃO</t>
  </si>
  <si>
    <t>VALOR (R$ )</t>
  </si>
  <si>
    <t>Valor total mensal por empregado</t>
  </si>
  <si>
    <t>total dos encargos</t>
  </si>
  <si>
    <t>Baleiro</t>
  </si>
  <si>
    <t>0,25 e 0,30%</t>
  </si>
  <si>
    <r>
      <t>13º (décimo terceiro) Salário</t>
    </r>
    <r>
      <rPr>
        <b/>
        <sz val="9"/>
        <rFont val="Arial"/>
        <family val="2"/>
      </rPr>
      <t xml:space="preserve"> - 8,33%</t>
    </r>
  </si>
  <si>
    <r>
      <t>Férias e Adicional de Férias</t>
    </r>
    <r>
      <rPr>
        <b/>
        <sz val="9"/>
        <rFont val="Arial"/>
        <family val="2"/>
      </rPr>
      <t xml:space="preserve"> - 11,11%</t>
    </r>
  </si>
  <si>
    <r>
      <rPr>
        <b/>
        <sz val="9"/>
        <rFont val="Arial"/>
        <family val="2"/>
      </rPr>
      <t>Incidencia dos encargos do submódulo 2..2</t>
    </r>
    <r>
      <rPr>
        <sz val="9"/>
        <rFont val="Arial"/>
        <family val="2"/>
      </rPr>
      <t xml:space="preserve"> sobre 13º e adicional de férias. </t>
    </r>
  </si>
  <si>
    <r>
      <t xml:space="preserve">Férias </t>
    </r>
    <r>
      <rPr>
        <b/>
        <sz val="9"/>
        <rFont val="Arial"/>
        <family val="2"/>
      </rPr>
      <t>- (1,62%</t>
    </r>
    <r>
      <rPr>
        <sz val="9"/>
        <rFont val="Arial"/>
        <family val="2"/>
      </rPr>
      <t>)</t>
    </r>
  </si>
  <si>
    <t>PLANO DE SAUDE</t>
  </si>
  <si>
    <t>Conforme apolice de seguro</t>
  </si>
  <si>
    <t>Valor Total do Serviço (F) = (D x E)</t>
  </si>
  <si>
    <t>XX/XXXX</t>
  </si>
  <si>
    <t>PLANILHA DE CUSTOS</t>
  </si>
  <si>
    <t>Fortaleza/CE</t>
  </si>
  <si>
    <t>MR039124/2023</t>
  </si>
  <si>
    <t>5174-20</t>
  </si>
  <si>
    <t>Valor total anual</t>
  </si>
  <si>
    <t xml:space="preserve">Valor total anual </t>
  </si>
  <si>
    <t>QUADRO RESUMO</t>
  </si>
  <si>
    <t>VIGILANTE - DIURNO (12X36)</t>
  </si>
  <si>
    <t>VIGILANTE - NOTURNO (12X36)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</si>
</sst>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_-&quot;R$&quot;* #,##0.00_-;\-&quot;R$&quot;* #,##0.00_-;_-&quot;R$&quot;* &quot;-&quot;??_-;_-@_-"/>
    <numFmt numFmtId="166" formatCode="_(&quot;R$ &quot;* #,##0.00_);_(&quot;R$ &quot;* \(#,##0.00\);_(&quot;R$ &quot;* &quot;-&quot;??_);_(@_)"/>
    <numFmt numFmtId="167" formatCode="_(* #,##0.00_);_(* \(#,##0.00\);_(* &quot;-&quot;??_);_(@_)"/>
    <numFmt numFmtId="168" formatCode="&quot; R$ &quot;#,##0.00\ ;&quot;-R$ &quot;#,##0.00\ ;&quot; R$ -&quot;#\ ;@\ "/>
    <numFmt numFmtId="169" formatCode="&quot; R$&quot;#,##0.00\ ;&quot;-R$&quot;#,##0.00\ ;&quot; R$-&quot;#\ ;@\ "/>
    <numFmt numFmtId="170" formatCode="0_ ;\-0\ "/>
    <numFmt numFmtId="171" formatCode="_-&quot;R$ &quot;* #,##0.00_-;&quot;-R$ &quot;* #,##0.00_-;_-&quot;R$ &quot;* \-??_-;_-@_-"/>
    <numFmt numFmtId="172" formatCode="_-* #,##0_-;\-* #,##0_-;_-* \-??_-;_-@_-"/>
    <numFmt numFmtId="173" formatCode="_-* #,##0.000_-;\-* #,##0.000_-;_-* &quot;-&quot;??_-;_-@_-"/>
    <numFmt numFmtId="174" formatCode="0.0000%"/>
    <numFmt numFmtId="175" formatCode="_-* #,##0_-;\-* #,##0_-;_-* &quot;-&quot;??_-;_-@_-"/>
    <numFmt numFmtId="176" formatCode="0.000%"/>
    <numFmt numFmtId="177" formatCode="00"/>
    <numFmt numFmtId="178" formatCode="0.000"/>
  </numFmts>
  <fonts count="66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1"/>
      <name val="Tahoma"/>
      <family val="2"/>
    </font>
    <font>
      <sz val="10"/>
      <color indexed="81"/>
      <name val="Arial"/>
      <family val="2"/>
    </font>
    <font>
      <sz val="9"/>
      <color indexed="81"/>
      <name val="Tahoma"/>
      <family val="2"/>
    </font>
    <font>
      <sz val="10"/>
      <color indexed="20"/>
      <name val="Arial"/>
      <family val="2"/>
    </font>
    <font>
      <b/>
      <sz val="10"/>
      <color indexed="81"/>
      <name val="Arial"/>
      <family val="2"/>
    </font>
    <font>
      <sz val="11"/>
      <color theme="1"/>
      <name val="Calibri"/>
      <family val="2"/>
      <scheme val="minor"/>
    </font>
    <font>
      <b/>
      <sz val="15"/>
      <color rgb="FF003366"/>
      <name val="Calibri"/>
      <family val="2"/>
    </font>
    <font>
      <u/>
      <sz val="10"/>
      <color theme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9"/>
      <color indexed="81"/>
      <name val="Segoe UI"/>
      <family val="2"/>
    </font>
    <font>
      <b/>
      <sz val="10"/>
      <color theme="1"/>
      <name val="Arial"/>
      <family val="2"/>
    </font>
    <font>
      <b/>
      <sz val="9"/>
      <color indexed="81"/>
      <name val="Segoe UI"/>
      <family val="2"/>
    </font>
    <font>
      <b/>
      <sz val="12"/>
      <name val="Arial"/>
      <family val="2"/>
    </font>
    <font>
      <sz val="14"/>
      <name val="Arial"/>
      <family val="2"/>
    </font>
    <font>
      <b/>
      <sz val="11"/>
      <name val="Calibri"/>
      <family val="2"/>
    </font>
    <font>
      <sz val="11"/>
      <name val="Arial"/>
      <family val="2"/>
    </font>
    <font>
      <sz val="11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name val="Arial"/>
      <family val="2"/>
    </font>
    <font>
      <b/>
      <sz val="14"/>
      <name val="Calibri"/>
      <family val="2"/>
    </font>
    <font>
      <b/>
      <sz val="14"/>
      <name val="Arial"/>
      <family val="2"/>
    </font>
    <font>
      <b/>
      <sz val="13"/>
      <name val="Calibri"/>
      <family val="2"/>
    </font>
    <font>
      <b/>
      <sz val="13"/>
      <name val="Arial"/>
      <family val="2"/>
    </font>
    <font>
      <sz val="14"/>
      <name val="Calibri"/>
      <family val="2"/>
    </font>
    <font>
      <sz val="14"/>
      <color rgb="FF000000"/>
      <name val="Arial"/>
      <family val="2"/>
    </font>
    <font>
      <sz val="14"/>
      <color theme="3"/>
      <name val="Arial"/>
      <family val="2"/>
    </font>
    <font>
      <u/>
      <sz val="14"/>
      <color theme="10"/>
      <name val="Arial"/>
      <family val="2"/>
    </font>
    <font>
      <b/>
      <sz val="12"/>
      <color rgb="FF00000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20"/>
      <name val="Arial"/>
      <family val="2"/>
    </font>
    <font>
      <b/>
      <sz val="9"/>
      <color theme="1"/>
      <name val="Arial"/>
      <family val="2"/>
    </font>
    <font>
      <b/>
      <i/>
      <sz val="12"/>
      <name val="Arial"/>
      <family val="2"/>
    </font>
    <font>
      <sz val="12"/>
      <color rgb="FF000000"/>
      <name val="Arial"/>
      <family val="2"/>
    </font>
    <font>
      <sz val="12"/>
      <color rgb="FFFF0000"/>
      <name val="Arial"/>
      <family val="2"/>
    </font>
    <font>
      <b/>
      <i/>
      <u/>
      <sz val="12"/>
      <name val="Arial"/>
      <family val="2"/>
    </font>
    <font>
      <sz val="12"/>
      <color theme="0"/>
      <name val="Arial"/>
      <family val="2"/>
    </font>
    <font>
      <sz val="9"/>
      <color theme="1"/>
      <name val="Arial"/>
      <family val="2"/>
    </font>
    <font>
      <b/>
      <sz val="9"/>
      <color rgb="FF0000FF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C0C0C0"/>
        <bgColor rgb="FFCCCCFF"/>
      </patternFill>
    </fill>
  </fills>
  <borders count="1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rgb="FF333399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8" fillId="7" borderId="1" applyNumberFormat="0" applyAlignment="0" applyProtection="0"/>
    <xf numFmtId="0" fontId="9" fillId="3" borderId="0" applyNumberFormat="0" applyBorder="0" applyAlignment="0" applyProtection="0"/>
    <xf numFmtId="0" fontId="10" fillId="22" borderId="0" applyNumberFormat="0" applyBorder="0" applyAlignment="0" applyProtection="0"/>
    <xf numFmtId="0" fontId="20" fillId="23" borderId="4" applyNumberFormat="0" applyAlignment="0" applyProtection="0"/>
    <xf numFmtId="9" fontId="1" fillId="0" borderId="0" applyFill="0" applyBorder="0" applyAlignment="0" applyProtection="0"/>
    <xf numFmtId="0" fontId="11" fillId="16" borderId="5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27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20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8" fillId="0" borderId="43" applyAlignment="0" applyProtection="0"/>
    <xf numFmtId="44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168" fontId="1" fillId="0" borderId="0" applyBorder="0" applyAlignment="0" applyProtection="0"/>
    <xf numFmtId="43" fontId="1" fillId="0" borderId="0" applyFont="0" applyFill="0" applyBorder="0" applyAlignment="0" applyProtection="0"/>
  </cellStyleXfs>
  <cellXfs count="762">
    <xf numFmtId="0" fontId="0" fillId="0" borderId="0" xfId="0"/>
    <xf numFmtId="0" fontId="19" fillId="0" borderId="12" xfId="0" applyFont="1" applyBorder="1" applyAlignment="1" applyProtection="1">
      <alignment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25" fillId="24" borderId="0" xfId="0" applyFont="1" applyFill="1" applyAlignment="1">
      <alignment vertical="center"/>
    </xf>
    <xf numFmtId="0" fontId="19" fillId="24" borderId="40" xfId="0" applyFont="1" applyFill="1" applyBorder="1" applyAlignment="1">
      <alignment horizontal="center" vertical="center"/>
    </xf>
    <xf numFmtId="0" fontId="0" fillId="24" borderId="0" xfId="0" applyFill="1" applyAlignment="1">
      <alignment vertical="center"/>
    </xf>
    <xf numFmtId="0" fontId="0" fillId="24" borderId="0" xfId="0" applyFill="1" applyAlignment="1">
      <alignment horizontal="center" vertical="center"/>
    </xf>
    <xf numFmtId="0" fontId="19" fillId="24" borderId="0" xfId="0" applyFont="1" applyFill="1" applyAlignment="1">
      <alignment horizontal="left" vertical="center" wrapText="1"/>
    </xf>
    <xf numFmtId="0" fontId="19" fillId="24" borderId="47" xfId="0" applyFont="1" applyFill="1" applyBorder="1" applyAlignment="1">
      <alignment horizontal="center" vertical="center"/>
    </xf>
    <xf numFmtId="0" fontId="0" fillId="24" borderId="47" xfId="0" applyFill="1" applyBorder="1" applyAlignment="1">
      <alignment horizontal="center" vertical="center"/>
    </xf>
    <xf numFmtId="0" fontId="19" fillId="24" borderId="0" xfId="0" applyFont="1" applyFill="1" applyAlignment="1">
      <alignment vertical="center"/>
    </xf>
    <xf numFmtId="9" fontId="0" fillId="24" borderId="0" xfId="33" applyFont="1" applyFill="1" applyAlignment="1">
      <alignment horizontal="center" vertical="center"/>
    </xf>
    <xf numFmtId="0" fontId="19" fillId="24" borderId="50" xfId="0" applyFont="1" applyFill="1" applyBorder="1" applyAlignment="1">
      <alignment horizontal="center" vertical="center"/>
    </xf>
    <xf numFmtId="0" fontId="19" fillId="0" borderId="62" xfId="0" applyFont="1" applyBorder="1" applyAlignment="1">
      <alignment vertical="center"/>
    </xf>
    <xf numFmtId="0" fontId="19" fillId="0" borderId="16" xfId="0" applyFont="1" applyBorder="1" applyAlignment="1">
      <alignment horizontal="justify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justify" vertical="center" wrapText="1"/>
    </xf>
    <xf numFmtId="0" fontId="19" fillId="0" borderId="0" xfId="0" applyFont="1" applyAlignment="1" applyProtection="1">
      <alignment vertical="center"/>
      <protection locked="0"/>
    </xf>
    <xf numFmtId="39" fontId="19" fillId="0" borderId="0" xfId="0" applyNumberFormat="1" applyFont="1" applyAlignment="1">
      <alignment horizontal="center" vertical="center"/>
    </xf>
    <xf numFmtId="0" fontId="0" fillId="24" borderId="12" xfId="0" applyFill="1" applyBorder="1" applyAlignment="1">
      <alignment horizontal="center" vertical="center"/>
    </xf>
    <xf numFmtId="0" fontId="19" fillId="0" borderId="67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justify" vertical="center" wrapText="1"/>
    </xf>
    <xf numFmtId="2" fontId="19" fillId="24" borderId="0" xfId="0" applyNumberFormat="1" applyFont="1" applyFill="1" applyAlignment="1">
      <alignment horizontal="center" vertical="center"/>
    </xf>
    <xf numFmtId="0" fontId="19" fillId="0" borderId="28" xfId="0" applyFont="1" applyBorder="1" applyAlignment="1">
      <alignment horizontal="justify" vertical="center" wrapText="1"/>
    </xf>
    <xf numFmtId="0" fontId="19" fillId="0" borderId="55" xfId="0" applyFont="1" applyBorder="1" applyAlignment="1">
      <alignment horizontal="justify" vertical="center" wrapText="1"/>
    </xf>
    <xf numFmtId="0" fontId="19" fillId="0" borderId="0" xfId="0" applyFont="1" applyAlignment="1" applyProtection="1">
      <alignment horizontal="left" vertical="center"/>
      <protection locked="0"/>
    </xf>
    <xf numFmtId="0" fontId="19" fillId="0" borderId="73" xfId="0" applyFont="1" applyBorder="1" applyAlignment="1">
      <alignment horizontal="justify" vertical="center" wrapText="1"/>
    </xf>
    <xf numFmtId="0" fontId="19" fillId="24" borderId="69" xfId="0" applyFont="1" applyFill="1" applyBorder="1" applyAlignment="1">
      <alignment horizontal="center" vertical="center"/>
    </xf>
    <xf numFmtId="0" fontId="19" fillId="24" borderId="59" xfId="0" applyFont="1" applyFill="1" applyBorder="1" applyAlignment="1">
      <alignment horizontal="center" vertical="center"/>
    </xf>
    <xf numFmtId="0" fontId="19" fillId="0" borderId="55" xfId="0" applyFont="1" applyBorder="1" applyAlignment="1" applyProtection="1">
      <alignment horizontal="left" vertical="center"/>
      <protection locked="0"/>
    </xf>
    <xf numFmtId="0" fontId="0" fillId="0" borderId="47" xfId="0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19" fillId="0" borderId="76" xfId="0" applyFont="1" applyBorder="1" applyAlignment="1">
      <alignment horizontal="center" vertical="center" wrapText="1"/>
    </xf>
    <xf numFmtId="0" fontId="19" fillId="0" borderId="42" xfId="0" applyFont="1" applyBorder="1" applyAlignment="1" applyProtection="1">
      <alignment horizontal="center" vertical="center"/>
      <protection locked="0"/>
    </xf>
    <xf numFmtId="0" fontId="19" fillId="0" borderId="84" xfId="0" applyFont="1" applyBorder="1" applyAlignment="1" applyProtection="1">
      <alignment horizontal="center" vertical="center"/>
      <protection locked="0"/>
    </xf>
    <xf numFmtId="0" fontId="0" fillId="0" borderId="88" xfId="0" applyBorder="1" applyAlignment="1">
      <alignment horizontal="justify" vertical="center" wrapText="1"/>
    </xf>
    <xf numFmtId="0" fontId="19" fillId="24" borderId="89" xfId="0" applyFont="1" applyFill="1" applyBorder="1" applyAlignment="1">
      <alignment horizontal="center" vertical="center"/>
    </xf>
    <xf numFmtId="0" fontId="19" fillId="0" borderId="90" xfId="0" applyFont="1" applyBorder="1" applyAlignment="1">
      <alignment horizontal="center" vertical="center" wrapText="1"/>
    </xf>
    <xf numFmtId="0" fontId="19" fillId="0" borderId="98" xfId="0" applyFont="1" applyBorder="1" applyAlignment="1" applyProtection="1">
      <alignment vertical="center"/>
      <protection locked="0"/>
    </xf>
    <xf numFmtId="0" fontId="0" fillId="0" borderId="106" xfId="0" applyBorder="1" applyAlignment="1">
      <alignment horizontal="justify" vertical="center" wrapText="1"/>
    </xf>
    <xf numFmtId="0" fontId="19" fillId="0" borderId="108" xfId="0" applyFont="1" applyBorder="1" applyAlignment="1">
      <alignment horizontal="justify" vertical="center" wrapText="1"/>
    </xf>
    <xf numFmtId="0" fontId="0" fillId="0" borderId="109" xfId="0" applyBorder="1"/>
    <xf numFmtId="44" fontId="0" fillId="0" borderId="109" xfId="59" applyFont="1" applyBorder="1"/>
    <xf numFmtId="165" fontId="0" fillId="0" borderId="109" xfId="0" applyNumberFormat="1" applyBorder="1"/>
    <xf numFmtId="44" fontId="0" fillId="0" borderId="0" xfId="0" applyNumberFormat="1"/>
    <xf numFmtId="169" fontId="0" fillId="0" borderId="0" xfId="0" applyNumberFormat="1"/>
    <xf numFmtId="0" fontId="37" fillId="0" borderId="36" xfId="0" applyFont="1" applyBorder="1" applyAlignment="1">
      <alignment horizontal="center" vertical="top" wrapText="1"/>
    </xf>
    <xf numFmtId="0" fontId="19" fillId="0" borderId="96" xfId="0" applyFont="1" applyBorder="1" applyAlignment="1">
      <alignment vertical="center" wrapText="1"/>
    </xf>
    <xf numFmtId="0" fontId="38" fillId="0" borderId="0" xfId="0" applyFont="1"/>
    <xf numFmtId="0" fontId="37" fillId="0" borderId="42" xfId="0" applyFont="1" applyBorder="1" applyAlignment="1">
      <alignment horizontal="center" vertical="top" wrapText="1"/>
    </xf>
    <xf numFmtId="0" fontId="39" fillId="0" borderId="36" xfId="0" applyFont="1" applyBorder="1" applyAlignment="1">
      <alignment vertical="top" wrapText="1"/>
    </xf>
    <xf numFmtId="0" fontId="37" fillId="0" borderId="78" xfId="0" applyFont="1" applyBorder="1" applyAlignment="1">
      <alignment horizontal="center" vertical="top" wrapText="1"/>
    </xf>
    <xf numFmtId="0" fontId="39" fillId="0" borderId="79" xfId="0" applyFont="1" applyBorder="1" applyAlignment="1">
      <alignment horizontal="center" vertical="top" wrapText="1"/>
    </xf>
    <xf numFmtId="0" fontId="39" fillId="0" borderId="79" xfId="0" applyFont="1" applyBorder="1" applyAlignment="1">
      <alignment horizontal="justify" vertical="top" wrapText="1"/>
    </xf>
    <xf numFmtId="0" fontId="35" fillId="0" borderId="109" xfId="0" applyFont="1" applyBorder="1" applyAlignment="1">
      <alignment horizontal="center" vertical="center"/>
    </xf>
    <xf numFmtId="0" fontId="35" fillId="0" borderId="109" xfId="0" applyFont="1" applyBorder="1" applyAlignment="1">
      <alignment horizontal="center" vertical="center" wrapText="1"/>
    </xf>
    <xf numFmtId="4" fontId="42" fillId="0" borderId="42" xfId="0" applyNumberFormat="1" applyFont="1" applyBorder="1" applyAlignment="1">
      <alignment horizontal="center" vertical="center" wrapText="1"/>
    </xf>
    <xf numFmtId="0" fontId="40" fillId="0" borderId="79" xfId="0" applyFont="1" applyBorder="1" applyAlignment="1">
      <alignment horizontal="center" vertical="top" wrapText="1"/>
    </xf>
    <xf numFmtId="0" fontId="42" fillId="0" borderId="109" xfId="0" applyFont="1" applyBorder="1" applyAlignment="1">
      <alignment horizontal="center" vertical="center"/>
    </xf>
    <xf numFmtId="0" fontId="35" fillId="0" borderId="109" xfId="0" applyFont="1" applyBorder="1" applyAlignment="1">
      <alignment horizontal="center"/>
    </xf>
    <xf numFmtId="0" fontId="41" fillId="0" borderId="78" xfId="0" applyFont="1" applyBorder="1" applyAlignment="1">
      <alignment horizontal="center" vertical="top" wrapText="1"/>
    </xf>
    <xf numFmtId="44" fontId="42" fillId="0" borderId="109" xfId="59" applyFont="1" applyBorder="1" applyAlignment="1">
      <alignment horizontal="center"/>
    </xf>
    <xf numFmtId="170" fontId="42" fillId="0" borderId="109" xfId="59" applyNumberFormat="1" applyFont="1" applyBorder="1" applyAlignment="1">
      <alignment horizontal="center"/>
    </xf>
    <xf numFmtId="44" fontId="35" fillId="0" borderId="109" xfId="59" applyFont="1" applyBorder="1"/>
    <xf numFmtId="44" fontId="35" fillId="0" borderId="109" xfId="0" applyNumberFormat="1" applyFont="1" applyBorder="1" applyAlignment="1">
      <alignment horizontal="center" vertical="center" wrapText="1"/>
    </xf>
    <xf numFmtId="0" fontId="45" fillId="0" borderId="42" xfId="0" applyFont="1" applyBorder="1" applyAlignment="1">
      <alignment horizontal="center" vertical="top" wrapText="1"/>
    </xf>
    <xf numFmtId="4" fontId="46" fillId="0" borderId="42" xfId="0" applyNumberFormat="1" applyFont="1" applyBorder="1" applyAlignment="1">
      <alignment horizontal="center" vertical="center"/>
    </xf>
    <xf numFmtId="4" fontId="44" fillId="0" borderId="42" xfId="0" applyNumberFormat="1" applyFont="1" applyBorder="1" applyAlignment="1">
      <alignment horizontal="center"/>
    </xf>
    <xf numFmtId="4" fontId="44" fillId="0" borderId="42" xfId="0" applyNumberFormat="1" applyFont="1" applyBorder="1" applyAlignment="1">
      <alignment horizontal="center" vertical="center"/>
    </xf>
    <xf numFmtId="0" fontId="47" fillId="0" borderId="79" xfId="0" applyFont="1" applyBorder="1" applyAlignment="1">
      <alignment horizontal="center" vertical="top" wrapText="1"/>
    </xf>
    <xf numFmtId="0" fontId="43" fillId="0" borderId="78" xfId="0" applyFont="1" applyBorder="1" applyAlignment="1">
      <alignment horizontal="justify" vertical="top" wrapText="1"/>
    </xf>
    <xf numFmtId="4" fontId="36" fillId="0" borderId="42" xfId="0" applyNumberFormat="1" applyFont="1" applyBorder="1" applyAlignment="1">
      <alignment horizontal="center" vertical="center" wrapText="1"/>
    </xf>
    <xf numFmtId="0" fontId="36" fillId="0" borderId="109" xfId="0" applyFont="1" applyBorder="1"/>
    <xf numFmtId="165" fontId="36" fillId="0" borderId="109" xfId="0" applyNumberFormat="1" applyFont="1" applyBorder="1"/>
    <xf numFmtId="165" fontId="44" fillId="0" borderId="109" xfId="0" applyNumberFormat="1" applyFont="1" applyBorder="1"/>
    <xf numFmtId="0" fontId="44" fillId="28" borderId="109" xfId="0" applyFont="1" applyFill="1" applyBorder="1"/>
    <xf numFmtId="0" fontId="47" fillId="0" borderId="36" xfId="0" applyFont="1" applyBorder="1" applyAlignment="1">
      <alignment horizontal="center" vertical="top" wrapText="1"/>
    </xf>
    <xf numFmtId="0" fontId="43" fillId="0" borderId="42" xfId="0" applyFont="1" applyBorder="1" applyAlignment="1">
      <alignment horizontal="justify" vertical="top" wrapText="1"/>
    </xf>
    <xf numFmtId="0" fontId="48" fillId="27" borderId="0" xfId="0" applyFont="1" applyFill="1" applyAlignment="1">
      <alignment horizontal="center" vertical="center"/>
    </xf>
    <xf numFmtId="0" fontId="36" fillId="27" borderId="40" xfId="0" applyFont="1" applyFill="1" applyBorder="1" applyAlignment="1">
      <alignment horizontal="left" vertical="center"/>
    </xf>
    <xf numFmtId="0" fontId="36" fillId="27" borderId="0" xfId="0" applyFont="1" applyFill="1" applyAlignment="1">
      <alignment vertical="center"/>
    </xf>
    <xf numFmtId="0" fontId="48" fillId="27" borderId="80" xfId="0" applyFont="1" applyFill="1" applyBorder="1" applyAlignment="1">
      <alignment horizontal="center" vertical="center"/>
    </xf>
    <xf numFmtId="0" fontId="48" fillId="27" borderId="81" xfId="0" applyFont="1" applyFill="1" applyBorder="1" applyAlignment="1">
      <alignment horizontal="center" vertical="center"/>
    </xf>
    <xf numFmtId="0" fontId="48" fillId="27" borderId="81" xfId="0" applyFont="1" applyFill="1" applyBorder="1" applyAlignment="1">
      <alignment vertical="center"/>
    </xf>
    <xf numFmtId="0" fontId="48" fillId="27" borderId="82" xfId="0" applyFont="1" applyFill="1" applyBorder="1" applyAlignment="1">
      <alignment vertical="center"/>
    </xf>
    <xf numFmtId="0" fontId="0" fillId="0" borderId="10" xfId="0" applyBorder="1" applyAlignment="1">
      <alignment horizontal="justify" vertical="center" wrapText="1"/>
    </xf>
    <xf numFmtId="0" fontId="0" fillId="0" borderId="11" xfId="0" applyBorder="1" applyAlignment="1">
      <alignment horizontal="justify" vertical="center" wrapText="1"/>
    </xf>
    <xf numFmtId="0" fontId="19" fillId="24" borderId="42" xfId="0" applyFont="1" applyFill="1" applyBorder="1" applyAlignment="1">
      <alignment vertical="center"/>
    </xf>
    <xf numFmtId="170" fontId="35" fillId="0" borderId="109" xfId="59" applyNumberFormat="1" applyFont="1" applyBorder="1" applyAlignment="1">
      <alignment horizontal="center"/>
    </xf>
    <xf numFmtId="10" fontId="1" fillId="0" borderId="0" xfId="33" applyNumberFormat="1"/>
    <xf numFmtId="0" fontId="0" fillId="0" borderId="0" xfId="0" applyAlignment="1">
      <alignment wrapText="1"/>
    </xf>
    <xf numFmtId="0" fontId="19" fillId="0" borderId="0" xfId="0" applyFont="1"/>
    <xf numFmtId="0" fontId="19" fillId="0" borderId="114" xfId="0" applyFont="1" applyBorder="1" applyAlignment="1">
      <alignment horizontal="center" vertical="center"/>
    </xf>
    <xf numFmtId="0" fontId="0" fillId="0" borderId="61" xfId="0" applyBorder="1" applyAlignment="1">
      <alignment wrapText="1"/>
    </xf>
    <xf numFmtId="0" fontId="19" fillId="0" borderId="115" xfId="0" applyFont="1" applyBorder="1" applyAlignment="1">
      <alignment horizontal="center" vertical="center"/>
    </xf>
    <xf numFmtId="0" fontId="0" fillId="0" borderId="115" xfId="0" applyBorder="1" applyAlignment="1">
      <alignment horizontal="justify" vertical="center" wrapText="1"/>
    </xf>
    <xf numFmtId="10" fontId="1" fillId="0" borderId="115" xfId="33" applyNumberFormat="1" applyBorder="1"/>
    <xf numFmtId="0" fontId="0" fillId="0" borderId="115" xfId="0" applyBorder="1" applyAlignment="1">
      <alignment wrapText="1"/>
    </xf>
    <xf numFmtId="0" fontId="19" fillId="0" borderId="109" xfId="0" applyFont="1" applyBorder="1" applyAlignment="1">
      <alignment horizontal="center" vertical="center"/>
    </xf>
    <xf numFmtId="0" fontId="0" fillId="0" borderId="109" xfId="0" applyBorder="1" applyAlignment="1">
      <alignment horizontal="justify" vertical="center" wrapText="1"/>
    </xf>
    <xf numFmtId="10" fontId="1" fillId="0" borderId="109" xfId="33" applyNumberFormat="1" applyBorder="1"/>
    <xf numFmtId="0" fontId="0" fillId="0" borderId="109" xfId="0" applyBorder="1" applyAlignment="1">
      <alignment wrapText="1"/>
    </xf>
    <xf numFmtId="0" fontId="0" fillId="0" borderId="109" xfId="0" applyBorder="1" applyAlignment="1">
      <alignment vertical="center" wrapText="1"/>
    </xf>
    <xf numFmtId="0" fontId="0" fillId="0" borderId="115" xfId="0" applyBorder="1"/>
    <xf numFmtId="0" fontId="0" fillId="24" borderId="115" xfId="0" applyFill="1" applyBorder="1" applyAlignment="1">
      <alignment horizontal="center" vertical="center"/>
    </xf>
    <xf numFmtId="0" fontId="0" fillId="0" borderId="115" xfId="0" applyBorder="1" applyAlignment="1" applyProtection="1">
      <alignment vertical="center" wrapText="1"/>
      <protection locked="0"/>
    </xf>
    <xf numFmtId="0" fontId="0" fillId="24" borderId="109" xfId="0" applyFill="1" applyBorder="1" applyAlignment="1">
      <alignment horizontal="center" vertical="center"/>
    </xf>
    <xf numFmtId="0" fontId="0" fillId="0" borderId="109" xfId="0" applyBorder="1" applyAlignment="1" applyProtection="1">
      <alignment vertical="center"/>
      <protection locked="0"/>
    </xf>
    <xf numFmtId="0" fontId="0" fillId="0" borderId="109" xfId="0" applyBorder="1" applyAlignment="1" applyProtection="1">
      <alignment vertical="center" wrapText="1"/>
      <protection locked="0"/>
    </xf>
    <xf numFmtId="0" fontId="19" fillId="0" borderId="109" xfId="0" applyFont="1" applyBorder="1" applyAlignment="1">
      <alignment vertical="center" wrapText="1"/>
    </xf>
    <xf numFmtId="44" fontId="1" fillId="0" borderId="109" xfId="59" applyBorder="1" applyAlignment="1"/>
    <xf numFmtId="0" fontId="0" fillId="0" borderId="109" xfId="0" applyBorder="1" applyAlignment="1">
      <alignment horizontal="left" wrapText="1"/>
    </xf>
    <xf numFmtId="0" fontId="0" fillId="24" borderId="14" xfId="0" applyFill="1" applyBorder="1" applyAlignment="1">
      <alignment horizontal="center" vertical="center"/>
    </xf>
    <xf numFmtId="0" fontId="0" fillId="0" borderId="14" xfId="0" applyBorder="1" applyAlignment="1">
      <alignment horizontal="justify" vertical="center" wrapText="1"/>
    </xf>
    <xf numFmtId="0" fontId="0" fillId="0" borderId="14" xfId="0" applyBorder="1" applyAlignment="1">
      <alignment wrapText="1"/>
    </xf>
    <xf numFmtId="0" fontId="0" fillId="24" borderId="18" xfId="0" applyFill="1" applyBorder="1" applyAlignment="1">
      <alignment vertical="center"/>
    </xf>
    <xf numFmtId="10" fontId="1" fillId="0" borderId="18" xfId="33" applyNumberFormat="1" applyBorder="1"/>
    <xf numFmtId="0" fontId="0" fillId="0" borderId="21" xfId="0" applyBorder="1" applyAlignment="1">
      <alignment wrapText="1"/>
    </xf>
    <xf numFmtId="0" fontId="0" fillId="0" borderId="20" xfId="0" applyBorder="1"/>
    <xf numFmtId="0" fontId="0" fillId="0" borderId="11" xfId="0" applyBorder="1" applyAlignment="1">
      <alignment horizontal="center" vertical="center"/>
    </xf>
    <xf numFmtId="0" fontId="0" fillId="0" borderId="109" xfId="0" applyBorder="1" applyAlignment="1" applyProtection="1">
      <alignment horizontal="left" vertical="center"/>
      <protection locked="0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21" xfId="0" applyBorder="1"/>
    <xf numFmtId="0" fontId="19" fillId="24" borderId="41" xfId="0" applyFont="1" applyFill="1" applyBorder="1" applyAlignment="1">
      <alignment horizontal="center" vertical="center"/>
    </xf>
    <xf numFmtId="0" fontId="19" fillId="0" borderId="61" xfId="0" applyFont="1" applyBorder="1" applyAlignment="1">
      <alignment horizontal="justify" vertical="center" wrapText="1"/>
    </xf>
    <xf numFmtId="10" fontId="19" fillId="0" borderId="61" xfId="33" applyNumberFormat="1" applyFont="1" applyBorder="1"/>
    <xf numFmtId="0" fontId="0" fillId="0" borderId="56" xfId="0" applyBorder="1"/>
    <xf numFmtId="0" fontId="0" fillId="0" borderId="41" xfId="0" applyBorder="1" applyAlignment="1">
      <alignment horizontal="center" vertical="center"/>
    </xf>
    <xf numFmtId="0" fontId="0" fillId="0" borderId="61" xfId="0" applyBorder="1" applyAlignment="1" applyProtection="1">
      <alignment horizontal="left" vertical="center"/>
      <protection locked="0"/>
    </xf>
    <xf numFmtId="0" fontId="0" fillId="0" borderId="69" xfId="0" applyBorder="1" applyAlignment="1">
      <alignment horizontal="center" vertical="center"/>
    </xf>
    <xf numFmtId="0" fontId="0" fillId="0" borderId="108" xfId="0" applyBorder="1" applyAlignment="1">
      <alignment horizontal="justify" vertical="center" wrapText="1"/>
    </xf>
    <xf numFmtId="0" fontId="19" fillId="0" borderId="31" xfId="0" applyFont="1" applyBorder="1" applyAlignment="1">
      <alignment horizontal="center" vertical="center"/>
    </xf>
    <xf numFmtId="0" fontId="19" fillId="0" borderId="31" xfId="0" applyFont="1" applyBorder="1" applyAlignment="1">
      <alignment horizontal="justify" vertical="center" wrapText="1"/>
    </xf>
    <xf numFmtId="0" fontId="19" fillId="0" borderId="31" xfId="0" applyFont="1" applyBorder="1" applyAlignment="1">
      <alignment horizontal="center" vertical="center" wrapText="1"/>
    </xf>
    <xf numFmtId="0" fontId="0" fillId="0" borderId="31" xfId="0" applyBorder="1"/>
    <xf numFmtId="0" fontId="19" fillId="0" borderId="114" xfId="0" applyFont="1" applyBorder="1" applyAlignment="1" applyProtection="1">
      <alignment horizontal="left" vertical="center"/>
      <protection locked="0"/>
    </xf>
    <xf numFmtId="10" fontId="19" fillId="0" borderId="114" xfId="33" applyNumberFormat="1" applyFont="1" applyBorder="1"/>
    <xf numFmtId="0" fontId="0" fillId="0" borderId="114" xfId="0" applyBorder="1"/>
    <xf numFmtId="2" fontId="19" fillId="0" borderId="104" xfId="0" applyNumberFormat="1" applyFont="1" applyBorder="1" applyAlignment="1">
      <alignment horizontal="center" vertical="center"/>
    </xf>
    <xf numFmtId="10" fontId="1" fillId="0" borderId="109" xfId="33" applyNumberFormat="1" applyBorder="1" applyAlignment="1">
      <alignment horizontal="center" vertical="center"/>
    </xf>
    <xf numFmtId="2" fontId="0" fillId="0" borderId="115" xfId="0" applyNumberFormat="1" applyBorder="1" applyAlignment="1">
      <alignment wrapText="1"/>
    </xf>
    <xf numFmtId="43" fontId="0" fillId="0" borderId="109" xfId="62" applyFont="1" applyBorder="1" applyAlignment="1">
      <alignment wrapText="1"/>
    </xf>
    <xf numFmtId="43" fontId="1" fillId="0" borderId="109" xfId="62" applyBorder="1"/>
    <xf numFmtId="9" fontId="1" fillId="0" borderId="0" xfId="33"/>
    <xf numFmtId="0" fontId="19" fillId="0" borderId="0" xfId="0" applyFont="1" applyAlignment="1">
      <alignment horizontal="center" vertical="center" wrapText="1"/>
    </xf>
    <xf numFmtId="0" fontId="37" fillId="0" borderId="118" xfId="0" applyFont="1" applyBorder="1" applyAlignment="1">
      <alignment horizontal="center" vertical="top" wrapText="1"/>
    </xf>
    <xf numFmtId="0" fontId="37" fillId="0" borderId="109" xfId="0" applyFont="1" applyBorder="1" applyAlignment="1">
      <alignment horizontal="center" vertical="top" wrapText="1"/>
    </xf>
    <xf numFmtId="0" fontId="38" fillId="0" borderId="109" xfId="0" applyFont="1" applyBorder="1"/>
    <xf numFmtId="2" fontId="1" fillId="0" borderId="61" xfId="33" applyNumberFormat="1" applyBorder="1"/>
    <xf numFmtId="2" fontId="1" fillId="0" borderId="109" xfId="33" applyNumberFormat="1" applyBorder="1"/>
    <xf numFmtId="2" fontId="1" fillId="0" borderId="18" xfId="33" applyNumberFormat="1" applyBorder="1"/>
    <xf numFmtId="2" fontId="1" fillId="0" borderId="109" xfId="33" applyNumberFormat="1" applyBorder="1" applyAlignment="1"/>
    <xf numFmtId="176" fontId="1" fillId="0" borderId="14" xfId="33" applyNumberFormat="1" applyBorder="1"/>
    <xf numFmtId="10" fontId="0" fillId="0" borderId="61" xfId="33" applyNumberFormat="1" applyFont="1" applyBorder="1"/>
    <xf numFmtId="0" fontId="53" fillId="24" borderId="0" xfId="0" applyFont="1" applyFill="1" applyAlignment="1">
      <alignment horizontal="center" vertical="center"/>
    </xf>
    <xf numFmtId="0" fontId="53" fillId="24" borderId="0" xfId="0" applyFont="1" applyFill="1" applyAlignment="1">
      <alignment vertical="center"/>
    </xf>
    <xf numFmtId="0" fontId="54" fillId="24" borderId="0" xfId="0" applyFont="1" applyFill="1" applyAlignment="1">
      <alignment horizontal="left" vertical="center" wrapText="1"/>
    </xf>
    <xf numFmtId="0" fontId="53" fillId="24" borderId="10" xfId="0" applyFont="1" applyFill="1" applyBorder="1" applyAlignment="1">
      <alignment vertical="center"/>
    </xf>
    <xf numFmtId="0" fontId="53" fillId="24" borderId="41" xfId="0" applyFont="1" applyFill="1" applyBorder="1" applyAlignment="1">
      <alignment vertical="center"/>
    </xf>
    <xf numFmtId="0" fontId="53" fillId="24" borderId="11" xfId="0" applyFont="1" applyFill="1" applyBorder="1" applyAlignment="1">
      <alignment vertical="center"/>
    </xf>
    <xf numFmtId="0" fontId="53" fillId="24" borderId="12" xfId="0" applyFont="1" applyFill="1" applyBorder="1" applyAlignment="1">
      <alignment vertical="center"/>
    </xf>
    <xf numFmtId="14" fontId="53" fillId="24" borderId="0" xfId="0" applyNumberFormat="1" applyFont="1" applyFill="1" applyAlignment="1">
      <alignment horizontal="center" vertical="center"/>
    </xf>
    <xf numFmtId="0" fontId="53" fillId="24" borderId="46" xfId="0" applyFont="1" applyFill="1" applyBorder="1" applyAlignment="1">
      <alignment vertical="center"/>
    </xf>
    <xf numFmtId="0" fontId="54" fillId="24" borderId="47" xfId="0" applyFont="1" applyFill="1" applyBorder="1" applyAlignment="1">
      <alignment horizontal="center" vertical="center"/>
    </xf>
    <xf numFmtId="0" fontId="54" fillId="0" borderId="84" xfId="0" applyFont="1" applyBorder="1" applyAlignment="1" applyProtection="1">
      <alignment horizontal="center" vertical="center"/>
      <protection locked="0"/>
    </xf>
    <xf numFmtId="0" fontId="53" fillId="24" borderId="47" xfId="0" applyFont="1" applyFill="1" applyBorder="1" applyAlignment="1">
      <alignment horizontal="center" vertical="center"/>
    </xf>
    <xf numFmtId="0" fontId="53" fillId="0" borderId="96" xfId="0" applyFont="1" applyBorder="1" applyAlignment="1" applyProtection="1">
      <alignment vertical="center"/>
      <protection locked="0"/>
    </xf>
    <xf numFmtId="0" fontId="53" fillId="0" borderId="96" xfId="0" applyFont="1" applyBorder="1" applyAlignment="1">
      <alignment vertical="center" wrapText="1"/>
    </xf>
    <xf numFmtId="0" fontId="53" fillId="24" borderId="48" xfId="0" applyFont="1" applyFill="1" applyBorder="1" applyAlignment="1">
      <alignment vertical="center"/>
    </xf>
    <xf numFmtId="0" fontId="54" fillId="0" borderId="98" xfId="0" applyFont="1" applyBorder="1" applyAlignment="1" applyProtection="1">
      <alignment vertical="center"/>
      <protection locked="0"/>
    </xf>
    <xf numFmtId="0" fontId="53" fillId="24" borderId="49" xfId="0" applyFont="1" applyFill="1" applyBorder="1" applyAlignment="1">
      <alignment vertical="center"/>
    </xf>
    <xf numFmtId="0" fontId="53" fillId="24" borderId="13" xfId="0" applyFont="1" applyFill="1" applyBorder="1" applyAlignment="1">
      <alignment vertical="center"/>
    </xf>
    <xf numFmtId="0" fontId="54" fillId="24" borderId="40" xfId="0" applyFont="1" applyFill="1" applyBorder="1" applyAlignment="1">
      <alignment horizontal="center" vertical="center"/>
    </xf>
    <xf numFmtId="0" fontId="54" fillId="0" borderId="62" xfId="0" applyFont="1" applyBorder="1" applyAlignment="1">
      <alignment vertical="center"/>
    </xf>
    <xf numFmtId="0" fontId="53" fillId="24" borderId="60" xfId="0" applyFont="1" applyFill="1" applyBorder="1" applyAlignment="1">
      <alignment horizontal="center" vertical="center"/>
    </xf>
    <xf numFmtId="0" fontId="53" fillId="0" borderId="61" xfId="0" applyFont="1" applyBorder="1" applyAlignment="1">
      <alignment vertical="center"/>
    </xf>
    <xf numFmtId="10" fontId="53" fillId="24" borderId="0" xfId="33" applyNumberFormat="1" applyFont="1" applyFill="1" applyAlignment="1">
      <alignment horizontal="center" vertical="center"/>
    </xf>
    <xf numFmtId="0" fontId="53" fillId="24" borderId="51" xfId="0" applyFont="1" applyFill="1" applyBorder="1" applyAlignment="1">
      <alignment horizontal="center" vertical="center"/>
    </xf>
    <xf numFmtId="0" fontId="53" fillId="0" borderId="102" xfId="0" applyFont="1" applyBorder="1" applyAlignment="1">
      <alignment vertical="center"/>
    </xf>
    <xf numFmtId="0" fontId="53" fillId="24" borderId="44" xfId="0" applyFont="1" applyFill="1" applyBorder="1" applyAlignment="1">
      <alignment horizontal="center" vertical="center"/>
    </xf>
    <xf numFmtId="0" fontId="53" fillId="24" borderId="42" xfId="0" applyFont="1" applyFill="1" applyBorder="1" applyAlignment="1">
      <alignment horizontal="center" vertical="center"/>
    </xf>
    <xf numFmtId="0" fontId="53" fillId="0" borderId="42" xfId="0" applyFont="1" applyBorder="1" applyAlignment="1">
      <alignment vertical="center" wrapText="1"/>
    </xf>
    <xf numFmtId="0" fontId="54" fillId="24" borderId="42" xfId="0" applyFont="1" applyFill="1" applyBorder="1" applyAlignment="1">
      <alignment vertical="center"/>
    </xf>
    <xf numFmtId="10" fontId="53" fillId="24" borderId="0" xfId="0" applyNumberFormat="1" applyFont="1" applyFill="1" applyAlignment="1">
      <alignment horizontal="center" vertical="center"/>
    </xf>
    <xf numFmtId="0" fontId="53" fillId="24" borderId="58" xfId="0" applyFont="1" applyFill="1" applyBorder="1" applyAlignment="1">
      <alignment vertical="center"/>
    </xf>
    <xf numFmtId="0" fontId="54" fillId="24" borderId="50" xfId="0" applyFont="1" applyFill="1" applyBorder="1" applyAlignment="1">
      <alignment horizontal="center" vertical="center"/>
    </xf>
    <xf numFmtId="0" fontId="54" fillId="0" borderId="16" xfId="0" applyFont="1" applyBorder="1" applyAlignment="1">
      <alignment horizontal="justify" vertical="center" wrapText="1"/>
    </xf>
    <xf numFmtId="0" fontId="54" fillId="0" borderId="15" xfId="0" applyFont="1" applyBorder="1" applyAlignment="1">
      <alignment horizontal="center" vertical="center" wrapText="1"/>
    </xf>
    <xf numFmtId="0" fontId="53" fillId="24" borderId="50" xfId="0" applyFont="1" applyFill="1" applyBorder="1" applyAlignment="1">
      <alignment horizontal="center" vertical="center"/>
    </xf>
    <xf numFmtId="0" fontId="53" fillId="0" borderId="10" xfId="0" applyFont="1" applyBorder="1" applyAlignment="1">
      <alignment horizontal="justify" vertical="center" wrapText="1"/>
    </xf>
    <xf numFmtId="0" fontId="53" fillId="0" borderId="11" xfId="0" applyFont="1" applyBorder="1" applyAlignment="1">
      <alignment horizontal="justify" vertical="center" wrapText="1"/>
    </xf>
    <xf numFmtId="2" fontId="54" fillId="0" borderId="104" xfId="0" applyNumberFormat="1" applyFont="1" applyBorder="1" applyAlignment="1">
      <alignment horizontal="center" vertical="center"/>
    </xf>
    <xf numFmtId="0" fontId="53" fillId="24" borderId="51" xfId="0" applyFont="1" applyFill="1" applyBorder="1" applyAlignment="1">
      <alignment vertical="center"/>
    </xf>
    <xf numFmtId="0" fontId="54" fillId="0" borderId="12" xfId="0" applyFont="1" applyBorder="1" applyAlignment="1">
      <alignment horizontal="justify" vertical="center" wrapText="1"/>
    </xf>
    <xf numFmtId="2" fontId="53" fillId="24" borderId="18" xfId="33" applyNumberFormat="1" applyFont="1" applyFill="1" applyBorder="1" applyAlignment="1">
      <alignment horizontal="center" vertical="center"/>
    </xf>
    <xf numFmtId="0" fontId="55" fillId="24" borderId="0" xfId="0" applyFont="1" applyFill="1" applyAlignment="1">
      <alignment vertical="center"/>
    </xf>
    <xf numFmtId="10" fontId="53" fillId="24" borderId="0" xfId="33" applyNumberFormat="1" applyFont="1" applyFill="1" applyAlignment="1">
      <alignment vertical="center"/>
    </xf>
    <xf numFmtId="0" fontId="54" fillId="0" borderId="13" xfId="0" applyFont="1" applyBorder="1" applyAlignment="1" applyProtection="1">
      <alignment horizontal="center" vertical="center"/>
      <protection locked="0"/>
    </xf>
    <xf numFmtId="0" fontId="53" fillId="0" borderId="17" xfId="0" applyFont="1" applyBorder="1" applyAlignment="1" applyProtection="1">
      <alignment vertical="center" wrapText="1"/>
      <protection locked="0"/>
    </xf>
    <xf numFmtId="0" fontId="53" fillId="0" borderId="11" xfId="0" applyFont="1" applyBorder="1" applyAlignment="1" applyProtection="1">
      <alignment vertical="center"/>
      <protection locked="0"/>
    </xf>
    <xf numFmtId="0" fontId="53" fillId="0" borderId="11" xfId="0" applyFont="1" applyBorder="1" applyAlignment="1" applyProtection="1">
      <alignment vertical="center" wrapText="1"/>
      <protection locked="0"/>
    </xf>
    <xf numFmtId="0" fontId="54" fillId="0" borderId="96" xfId="0" applyFont="1" applyBorder="1" applyAlignment="1">
      <alignment vertical="center" wrapText="1"/>
    </xf>
    <xf numFmtId="0" fontId="54" fillId="0" borderId="12" xfId="0" applyFont="1" applyBorder="1" applyAlignment="1" applyProtection="1">
      <alignment vertical="center"/>
      <protection locked="0"/>
    </xf>
    <xf numFmtId="0" fontId="54" fillId="0" borderId="0" xfId="0" applyFont="1" applyAlignment="1" applyProtection="1">
      <alignment vertical="center"/>
      <protection locked="0"/>
    </xf>
    <xf numFmtId="39" fontId="54" fillId="0" borderId="0" xfId="0" applyNumberFormat="1" applyFont="1" applyAlignment="1">
      <alignment horizontal="center" vertical="center"/>
    </xf>
    <xf numFmtId="0" fontId="53" fillId="24" borderId="40" xfId="0" applyFont="1" applyFill="1" applyBorder="1" applyAlignment="1">
      <alignment vertical="center"/>
    </xf>
    <xf numFmtId="0" fontId="53" fillId="24" borderId="59" xfId="0" applyFont="1" applyFill="1" applyBorder="1" applyAlignment="1">
      <alignment horizontal="center" vertical="center"/>
    </xf>
    <xf numFmtId="0" fontId="54" fillId="0" borderId="67" xfId="0" applyFont="1" applyBorder="1" applyAlignment="1" applyProtection="1">
      <alignment vertical="center"/>
      <protection locked="0"/>
    </xf>
    <xf numFmtId="0" fontId="53" fillId="24" borderId="41" xfId="0" applyFont="1" applyFill="1" applyBorder="1" applyAlignment="1">
      <alignment horizontal="center" vertical="center"/>
    </xf>
    <xf numFmtId="0" fontId="53" fillId="0" borderId="61" xfId="0" applyFont="1" applyBorder="1" applyAlignment="1" applyProtection="1">
      <alignment vertical="center"/>
      <protection locked="0"/>
    </xf>
    <xf numFmtId="0" fontId="53" fillId="24" borderId="11" xfId="0" applyFont="1" applyFill="1" applyBorder="1" applyAlignment="1">
      <alignment horizontal="center" vertical="center"/>
    </xf>
    <xf numFmtId="0" fontId="53" fillId="0" borderId="104" xfId="0" applyFont="1" applyBorder="1" applyAlignment="1" applyProtection="1">
      <alignment vertical="center"/>
      <protection locked="0"/>
    </xf>
    <xf numFmtId="0" fontId="53" fillId="24" borderId="12" xfId="0" applyFont="1" applyFill="1" applyBorder="1" applyAlignment="1">
      <alignment horizontal="center" vertical="center"/>
    </xf>
    <xf numFmtId="0" fontId="53" fillId="0" borderId="18" xfId="0" applyFont="1" applyBorder="1" applyAlignment="1" applyProtection="1">
      <alignment vertical="center"/>
      <protection locked="0"/>
    </xf>
    <xf numFmtId="0" fontId="54" fillId="0" borderId="42" xfId="0" applyFont="1" applyBorder="1" applyAlignment="1" applyProtection="1">
      <alignment horizontal="center" vertical="center"/>
      <protection locked="0"/>
    </xf>
    <xf numFmtId="0" fontId="54" fillId="0" borderId="28" xfId="0" applyFont="1" applyBorder="1" applyAlignment="1">
      <alignment horizontal="justify" vertical="center" wrapText="1"/>
    </xf>
    <xf numFmtId="0" fontId="53" fillId="0" borderId="106" xfId="0" applyFont="1" applyBorder="1" applyAlignment="1">
      <alignment horizontal="justify" vertical="center" wrapText="1"/>
    </xf>
    <xf numFmtId="174" fontId="53" fillId="24" borderId="0" xfId="33" applyNumberFormat="1" applyFont="1" applyFill="1" applyAlignment="1">
      <alignment horizontal="center" vertical="center"/>
    </xf>
    <xf numFmtId="0" fontId="53" fillId="0" borderId="88" xfId="0" applyFont="1" applyBorder="1" applyAlignment="1">
      <alignment horizontal="justify" vertical="center" wrapText="1"/>
    </xf>
    <xf numFmtId="0" fontId="54" fillId="0" borderId="55" xfId="0" applyFont="1" applyBorder="1" applyAlignment="1">
      <alignment horizontal="justify" vertical="center" wrapText="1"/>
    </xf>
    <xf numFmtId="0" fontId="53" fillId="24" borderId="42" xfId="0" applyFont="1" applyFill="1" applyBorder="1" applyAlignment="1">
      <alignment vertical="center"/>
    </xf>
    <xf numFmtId="0" fontId="53" fillId="24" borderId="69" xfId="0" applyFont="1" applyFill="1" applyBorder="1" applyAlignment="1">
      <alignment vertical="center"/>
    </xf>
    <xf numFmtId="174" fontId="53" fillId="24" borderId="0" xfId="33" applyNumberFormat="1" applyFont="1" applyFill="1" applyAlignment="1">
      <alignment vertical="center"/>
    </xf>
    <xf numFmtId="0" fontId="54" fillId="24" borderId="89" xfId="0" applyFont="1" applyFill="1" applyBorder="1" applyAlignment="1">
      <alignment horizontal="center" vertical="center"/>
    </xf>
    <xf numFmtId="174" fontId="53" fillId="24" borderId="0" xfId="0" applyNumberFormat="1" applyFont="1" applyFill="1" applyAlignment="1">
      <alignment vertical="center"/>
    </xf>
    <xf numFmtId="2" fontId="53" fillId="24" borderId="0" xfId="33" applyNumberFormat="1" applyFont="1" applyFill="1" applyAlignment="1">
      <alignment horizontal="center" vertical="center"/>
    </xf>
    <xf numFmtId="0" fontId="54" fillId="24" borderId="69" xfId="0" applyFont="1" applyFill="1" applyBorder="1" applyAlignment="1">
      <alignment horizontal="center" vertical="center"/>
    </xf>
    <xf numFmtId="0" fontId="54" fillId="0" borderId="108" xfId="0" applyFont="1" applyBorder="1" applyAlignment="1">
      <alignment horizontal="justify" vertical="center" wrapText="1"/>
    </xf>
    <xf numFmtId="0" fontId="53" fillId="24" borderId="89" xfId="0" applyFont="1" applyFill="1" applyBorder="1" applyAlignment="1">
      <alignment horizontal="center" vertical="center"/>
    </xf>
    <xf numFmtId="0" fontId="53" fillId="24" borderId="90" xfId="0" applyFont="1" applyFill="1" applyBorder="1" applyAlignment="1">
      <alignment vertical="center"/>
    </xf>
    <xf numFmtId="0" fontId="54" fillId="0" borderId="73" xfId="0" applyFont="1" applyBorder="1" applyAlignment="1">
      <alignment horizontal="justify" vertical="center" wrapText="1"/>
    </xf>
    <xf numFmtId="9" fontId="53" fillId="24" borderId="0" xfId="33" applyFont="1" applyFill="1" applyAlignment="1">
      <alignment horizontal="center" vertical="center"/>
    </xf>
    <xf numFmtId="0" fontId="54" fillId="24" borderId="59" xfId="0" applyFont="1" applyFill="1" applyBorder="1" applyAlignment="1">
      <alignment horizontal="center" vertical="center"/>
    </xf>
    <xf numFmtId="39" fontId="53" fillId="24" borderId="0" xfId="0" applyNumberFormat="1" applyFont="1" applyFill="1" applyAlignment="1">
      <alignment horizontal="center" vertical="center"/>
    </xf>
    <xf numFmtId="39" fontId="53" fillId="24" borderId="0" xfId="0" applyNumberFormat="1" applyFont="1" applyFill="1" applyAlignment="1">
      <alignment vertical="center"/>
    </xf>
    <xf numFmtId="0" fontId="53" fillId="0" borderId="46" xfId="0" applyFont="1" applyBorder="1" applyAlignment="1">
      <alignment vertical="center"/>
    </xf>
    <xf numFmtId="0" fontId="54" fillId="0" borderId="47" xfId="0" applyFont="1" applyBorder="1" applyAlignment="1">
      <alignment horizontal="center" vertical="center"/>
    </xf>
    <xf numFmtId="0" fontId="54" fillId="0" borderId="0" xfId="0" applyFont="1" applyAlignment="1" applyProtection="1">
      <alignment horizontal="left" vertical="center"/>
      <protection locked="0"/>
    </xf>
    <xf numFmtId="0" fontId="53" fillId="0" borderId="47" xfId="0" applyFont="1" applyBorder="1" applyAlignment="1">
      <alignment horizontal="center" vertical="center"/>
    </xf>
    <xf numFmtId="0" fontId="53" fillId="0" borderId="57" xfId="0" applyFont="1" applyBorder="1" applyAlignment="1" applyProtection="1">
      <alignment horizontal="left" vertical="center"/>
      <protection locked="0"/>
    </xf>
    <xf numFmtId="0" fontId="53" fillId="0" borderId="88" xfId="0" applyFont="1" applyBorder="1" applyAlignment="1" applyProtection="1">
      <alignment horizontal="left" vertical="center"/>
      <protection locked="0"/>
    </xf>
    <xf numFmtId="0" fontId="53" fillId="0" borderId="48" xfId="0" applyFont="1" applyBorder="1" applyAlignment="1">
      <alignment vertical="center"/>
    </xf>
    <xf numFmtId="0" fontId="54" fillId="0" borderId="55" xfId="0" applyFont="1" applyBorder="1" applyAlignment="1" applyProtection="1">
      <alignment horizontal="left" vertical="center"/>
      <protection locked="0"/>
    </xf>
    <xf numFmtId="0" fontId="53" fillId="0" borderId="0" xfId="0" applyFont="1" applyAlignment="1">
      <alignment vertical="center"/>
    </xf>
    <xf numFmtId="0" fontId="54" fillId="0" borderId="0" xfId="0" applyFont="1" applyAlignment="1">
      <alignment horizontal="justify" vertical="center" wrapText="1"/>
    </xf>
    <xf numFmtId="2" fontId="54" fillId="24" borderId="0" xfId="0" applyNumberFormat="1" applyFont="1" applyFill="1" applyAlignment="1">
      <alignment horizontal="center" vertical="center"/>
    </xf>
    <xf numFmtId="0" fontId="53" fillId="0" borderId="46" xfId="0" applyFont="1" applyBorder="1" applyAlignment="1">
      <alignment horizontal="center" vertical="center"/>
    </xf>
    <xf numFmtId="0" fontId="53" fillId="0" borderId="48" xfId="0" applyFont="1" applyBorder="1" applyAlignment="1">
      <alignment horizontal="center" vertical="center"/>
    </xf>
    <xf numFmtId="0" fontId="54" fillId="24" borderId="0" xfId="0" applyFont="1" applyFill="1" applyAlignment="1">
      <alignment vertical="center"/>
    </xf>
    <xf numFmtId="0" fontId="53" fillId="24" borderId="47" xfId="0" applyFont="1" applyFill="1" applyBorder="1" applyAlignment="1">
      <alignment vertical="center"/>
    </xf>
    <xf numFmtId="0" fontId="54" fillId="0" borderId="90" xfId="0" applyFont="1" applyBorder="1" applyAlignment="1">
      <alignment horizontal="center" vertical="center" wrapText="1"/>
    </xf>
    <xf numFmtId="0" fontId="53" fillId="0" borderId="90" xfId="0" applyFont="1" applyBorder="1" applyAlignment="1">
      <alignment horizontal="justify" vertical="center" wrapText="1"/>
    </xf>
    <xf numFmtId="0" fontId="53" fillId="24" borderId="116" xfId="0" applyFont="1" applyFill="1" applyBorder="1" applyAlignment="1">
      <alignment vertical="center"/>
    </xf>
    <xf numFmtId="0" fontId="54" fillId="0" borderId="29" xfId="0" applyFont="1" applyBorder="1" applyAlignment="1">
      <alignment horizontal="center" vertical="center" wrapText="1"/>
    </xf>
    <xf numFmtId="0" fontId="53" fillId="24" borderId="109" xfId="0" applyFont="1" applyFill="1" applyBorder="1" applyAlignment="1">
      <alignment vertical="center"/>
    </xf>
    <xf numFmtId="43" fontId="53" fillId="24" borderId="0" xfId="0" applyNumberFormat="1" applyFont="1" applyFill="1" applyAlignment="1">
      <alignment vertical="center"/>
    </xf>
    <xf numFmtId="44" fontId="53" fillId="24" borderId="0" xfId="0" applyNumberFormat="1" applyFont="1" applyFill="1" applyAlignment="1">
      <alignment vertical="center"/>
    </xf>
    <xf numFmtId="43" fontId="1" fillId="0" borderId="109" xfId="62" applyBorder="1" applyAlignment="1"/>
    <xf numFmtId="10" fontId="0" fillId="0" borderId="109" xfId="33" applyNumberFormat="1" applyFont="1" applyBorder="1" applyAlignment="1"/>
    <xf numFmtId="0" fontId="54" fillId="24" borderId="0" xfId="0" applyFont="1" applyFill="1" applyAlignment="1">
      <alignment horizontal="center" vertical="center"/>
    </xf>
    <xf numFmtId="2" fontId="53" fillId="24" borderId="104" xfId="0" applyNumberFormat="1" applyFont="1" applyFill="1" applyBorder="1" applyAlignment="1">
      <alignment horizontal="center" vertical="center"/>
    </xf>
    <xf numFmtId="0" fontId="54" fillId="0" borderId="35" xfId="0" applyFont="1" applyBorder="1" applyAlignment="1" applyProtection="1">
      <alignment horizontal="center" vertical="center"/>
      <protection locked="0"/>
    </xf>
    <xf numFmtId="2" fontId="53" fillId="24" borderId="14" xfId="0" applyNumberFormat="1" applyFont="1" applyFill="1" applyBorder="1" applyAlignment="1">
      <alignment horizontal="center" vertical="center"/>
    </xf>
    <xf numFmtId="0" fontId="19" fillId="24" borderId="0" xfId="0" applyFont="1" applyFill="1" applyAlignment="1">
      <alignment horizontal="center" vertical="center"/>
    </xf>
    <xf numFmtId="0" fontId="19" fillId="0" borderId="35" xfId="0" applyFont="1" applyBorder="1" applyAlignment="1" applyProtection="1">
      <alignment horizontal="center" vertical="center"/>
      <protection locked="0"/>
    </xf>
    <xf numFmtId="2" fontId="0" fillId="24" borderId="104" xfId="0" applyNumberFormat="1" applyFill="1" applyBorder="1" applyAlignment="1">
      <alignment horizontal="center" vertical="center"/>
    </xf>
    <xf numFmtId="2" fontId="0" fillId="24" borderId="14" xfId="0" applyNumberFormat="1" applyFill="1" applyBorder="1" applyAlignment="1">
      <alignment horizontal="center" vertical="center"/>
    </xf>
    <xf numFmtId="177" fontId="35" fillId="0" borderId="109" xfId="0" applyNumberFormat="1" applyFont="1" applyBorder="1" applyAlignment="1">
      <alignment horizontal="center" vertical="center" wrapText="1"/>
    </xf>
    <xf numFmtId="177" fontId="35" fillId="0" borderId="109" xfId="0" applyNumberFormat="1" applyFont="1" applyBorder="1" applyAlignment="1" applyProtection="1">
      <alignment horizontal="center" vertical="center"/>
      <protection locked="0"/>
    </xf>
    <xf numFmtId="0" fontId="35" fillId="27" borderId="109" xfId="0" applyFont="1" applyFill="1" applyBorder="1" applyProtection="1">
      <protection locked="0"/>
    </xf>
    <xf numFmtId="44" fontId="42" fillId="27" borderId="109" xfId="59" applyFont="1" applyFill="1" applyBorder="1" applyAlignment="1">
      <alignment vertical="center"/>
    </xf>
    <xf numFmtId="0" fontId="0" fillId="0" borderId="0" xfId="0" applyAlignment="1">
      <alignment vertical="center"/>
    </xf>
    <xf numFmtId="0" fontId="51" fillId="0" borderId="0" xfId="0" applyFont="1" applyAlignment="1">
      <alignment vertical="center" wrapText="1"/>
    </xf>
    <xf numFmtId="0" fontId="42" fillId="0" borderId="0" xfId="0" applyFont="1" applyAlignment="1">
      <alignment vertical="center"/>
    </xf>
    <xf numFmtId="0" fontId="57" fillId="30" borderId="0" xfId="0" applyFont="1" applyFill="1"/>
    <xf numFmtId="0" fontId="51" fillId="0" borderId="0" xfId="0" applyFont="1" applyAlignment="1">
      <alignment horizontal="center" vertical="center"/>
    </xf>
    <xf numFmtId="0" fontId="51" fillId="0" borderId="0" xfId="0" applyFont="1" applyAlignment="1">
      <alignment horizontal="right" vertical="center"/>
    </xf>
    <xf numFmtId="0" fontId="51" fillId="0" borderId="0" xfId="0" applyFont="1" applyAlignment="1">
      <alignment horizontal="left" vertical="center"/>
    </xf>
    <xf numFmtId="0" fontId="58" fillId="0" borderId="0" xfId="0" applyFont="1" applyAlignment="1">
      <alignment horizontal="center" vertical="center"/>
    </xf>
    <xf numFmtId="164" fontId="58" fillId="0" borderId="0" xfId="0" applyNumberFormat="1" applyFont="1" applyAlignment="1">
      <alignment horizontal="center" vertical="center"/>
    </xf>
    <xf numFmtId="0" fontId="58" fillId="0" borderId="0" xfId="0" applyFont="1" applyAlignment="1">
      <alignment horizontal="right" vertical="center"/>
    </xf>
    <xf numFmtId="171" fontId="42" fillId="0" borderId="0" xfId="0" applyNumberFormat="1" applyFont="1" applyAlignment="1">
      <alignment vertical="center"/>
    </xf>
    <xf numFmtId="0" fontId="59" fillId="27" borderId="0" xfId="0" applyFont="1" applyFill="1" applyAlignment="1">
      <alignment horizontal="center"/>
    </xf>
    <xf numFmtId="0" fontId="59" fillId="27" borderId="0" xfId="0" applyFont="1" applyFill="1"/>
    <xf numFmtId="0" fontId="51" fillId="0" borderId="0" xfId="0" applyFont="1" applyAlignment="1">
      <alignment horizontal="right" vertical="center" wrapText="1"/>
    </xf>
    <xf numFmtId="0" fontId="58" fillId="0" borderId="0" xfId="0" applyFont="1" applyAlignment="1">
      <alignment horizontal="center" vertical="center" wrapText="1"/>
    </xf>
    <xf numFmtId="164" fontId="58" fillId="0" borderId="0" xfId="0" applyNumberFormat="1" applyFont="1" applyAlignment="1">
      <alignment horizontal="center" vertical="center" wrapText="1"/>
    </xf>
    <xf numFmtId="0" fontId="58" fillId="0" borderId="0" xfId="0" applyFont="1" applyAlignment="1">
      <alignment horizontal="right" vertical="center" wrapText="1"/>
    </xf>
    <xf numFmtId="0" fontId="42" fillId="0" borderId="0" xfId="0" applyFont="1" applyAlignment="1">
      <alignment vertical="center" wrapText="1"/>
    </xf>
    <xf numFmtId="0" fontId="51" fillId="0" borderId="0" xfId="0" applyFont="1" applyAlignment="1">
      <alignment horizontal="center" vertical="center" wrapText="1"/>
    </xf>
    <xf numFmtId="0" fontId="58" fillId="0" borderId="0" xfId="0" applyFont="1" applyAlignment="1">
      <alignment vertical="center" wrapText="1"/>
    </xf>
    <xf numFmtId="0" fontId="58" fillId="0" borderId="0" xfId="0" applyFont="1" applyAlignment="1">
      <alignment horizontal="left" vertical="center" wrapText="1"/>
    </xf>
    <xf numFmtId="3" fontId="58" fillId="0" borderId="0" xfId="0" applyNumberFormat="1" applyFont="1" applyAlignment="1">
      <alignment horizontal="center" vertical="center" wrapText="1"/>
    </xf>
    <xf numFmtId="4" fontId="58" fillId="0" borderId="0" xfId="0" applyNumberFormat="1" applyFont="1" applyAlignment="1">
      <alignment vertical="center" wrapText="1"/>
    </xf>
    <xf numFmtId="3" fontId="42" fillId="0" borderId="0" xfId="0" applyNumberFormat="1" applyFont="1" applyAlignment="1">
      <alignment vertical="center"/>
    </xf>
    <xf numFmtId="4" fontId="51" fillId="0" borderId="0" xfId="0" applyNumberFormat="1" applyFont="1" applyAlignment="1">
      <alignment vertical="center" wrapText="1"/>
    </xf>
    <xf numFmtId="0" fontId="35" fillId="0" borderId="0" xfId="0" applyFont="1" applyAlignment="1">
      <alignment vertical="center"/>
    </xf>
    <xf numFmtId="3" fontId="35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1" fillId="0" borderId="0" xfId="0" applyFont="1" applyAlignment="1">
      <alignment vertical="center"/>
    </xf>
    <xf numFmtId="0" fontId="35" fillId="30" borderId="115" xfId="0" applyFont="1" applyFill="1" applyBorder="1" applyAlignment="1">
      <alignment horizontal="center" vertical="center" wrapText="1"/>
    </xf>
    <xf numFmtId="0" fontId="35" fillId="0" borderId="11" xfId="0" applyFont="1" applyBorder="1" applyAlignment="1">
      <alignment vertical="center" wrapText="1"/>
    </xf>
    <xf numFmtId="171" fontId="35" fillId="0" borderId="121" xfId="0" applyNumberFormat="1" applyFont="1" applyBorder="1" applyAlignment="1" applyProtection="1">
      <alignment vertical="center"/>
      <protection locked="0"/>
    </xf>
    <xf numFmtId="0" fontId="35" fillId="0" borderId="122" xfId="0" applyFont="1" applyBorder="1" applyAlignment="1">
      <alignment vertical="center" wrapText="1"/>
    </xf>
    <xf numFmtId="0" fontId="51" fillId="0" borderId="123" xfId="0" applyFont="1" applyBorder="1" applyAlignment="1">
      <alignment horizontal="left" vertical="center"/>
    </xf>
    <xf numFmtId="0" fontId="58" fillId="0" borderId="124" xfId="0" applyFont="1" applyBorder="1" applyAlignment="1">
      <alignment horizontal="center" vertical="center"/>
    </xf>
    <xf numFmtId="164" fontId="58" fillId="0" borderId="124" xfId="0" applyNumberFormat="1" applyFont="1" applyBorder="1" applyAlignment="1">
      <alignment horizontal="center" vertical="center"/>
    </xf>
    <xf numFmtId="44" fontId="58" fillId="0" borderId="124" xfId="0" applyNumberFormat="1" applyFont="1" applyBorder="1" applyAlignment="1">
      <alignment horizontal="right" vertical="center"/>
    </xf>
    <xf numFmtId="0" fontId="42" fillId="0" borderId="124" xfId="0" applyFont="1" applyBorder="1" applyAlignment="1">
      <alignment vertical="center"/>
    </xf>
    <xf numFmtId="171" fontId="35" fillId="27" borderId="121" xfId="0" applyNumberFormat="1" applyFont="1" applyFill="1" applyBorder="1" applyProtection="1">
      <protection locked="0"/>
    </xf>
    <xf numFmtId="172" fontId="42" fillId="27" borderId="121" xfId="62" applyNumberFormat="1" applyFont="1" applyFill="1" applyBorder="1" applyAlignment="1" applyProtection="1">
      <alignment vertical="center"/>
      <protection locked="0"/>
    </xf>
    <xf numFmtId="0" fontId="35" fillId="27" borderId="124" xfId="0" applyFont="1" applyFill="1" applyBorder="1" applyAlignment="1" applyProtection="1">
      <alignment wrapText="1"/>
      <protection locked="0"/>
    </xf>
    <xf numFmtId="44" fontId="35" fillId="27" borderId="21" xfId="59" applyFont="1" applyFill="1" applyBorder="1" applyAlignment="1" applyProtection="1">
      <alignment vertical="center"/>
      <protection locked="0"/>
    </xf>
    <xf numFmtId="0" fontId="35" fillId="30" borderId="119" xfId="0" applyFont="1" applyFill="1" applyBorder="1" applyAlignment="1">
      <alignment horizontal="center" vertical="center"/>
    </xf>
    <xf numFmtId="0" fontId="35" fillId="30" borderId="120" xfId="0" applyFont="1" applyFill="1" applyBorder="1" applyAlignment="1">
      <alignment horizontal="center" vertical="center" wrapText="1"/>
    </xf>
    <xf numFmtId="0" fontId="35" fillId="30" borderId="11" xfId="0" applyFont="1" applyFill="1" applyBorder="1" applyProtection="1">
      <protection locked="0"/>
    </xf>
    <xf numFmtId="0" fontId="35" fillId="30" borderId="109" xfId="0" applyFont="1" applyFill="1" applyBorder="1" applyProtection="1">
      <protection locked="0"/>
    </xf>
    <xf numFmtId="0" fontId="35" fillId="30" borderId="121" xfId="0" applyFont="1" applyFill="1" applyBorder="1" applyAlignment="1" applyProtection="1">
      <alignment horizontal="center"/>
      <protection locked="0"/>
    </xf>
    <xf numFmtId="0" fontId="42" fillId="27" borderId="122" xfId="0" applyFont="1" applyFill="1" applyBorder="1" applyProtection="1">
      <protection locked="0"/>
    </xf>
    <xf numFmtId="0" fontId="42" fillId="27" borderId="12" xfId="0" applyFont="1" applyFill="1" applyBorder="1" applyAlignment="1" applyProtection="1">
      <alignment wrapText="1"/>
      <protection locked="0"/>
    </xf>
    <xf numFmtId="0" fontId="62" fillId="0" borderId="109" xfId="0" applyFont="1" applyBorder="1" applyAlignment="1">
      <alignment horizontal="left"/>
    </xf>
    <xf numFmtId="43" fontId="62" fillId="0" borderId="109" xfId="62" applyFont="1" applyBorder="1" applyAlignment="1" applyProtection="1">
      <alignment horizontal="left"/>
    </xf>
    <xf numFmtId="43" fontId="62" fillId="0" borderId="109" xfId="62" applyFont="1" applyBorder="1" applyProtection="1"/>
    <xf numFmtId="0" fontId="62" fillId="0" borderId="109" xfId="0" applyFont="1" applyBorder="1"/>
    <xf numFmtId="175" fontId="62" fillId="0" borderId="109" xfId="62" applyNumberFormat="1" applyFont="1" applyBorder="1" applyAlignment="1" applyProtection="1">
      <alignment horizontal="center"/>
    </xf>
    <xf numFmtId="4" fontId="62" fillId="0" borderId="109" xfId="0" applyNumberFormat="1" applyFont="1" applyBorder="1"/>
    <xf numFmtId="0" fontId="62" fillId="0" borderId="109" xfId="0" applyFont="1" applyBorder="1" applyAlignment="1">
      <alignment horizontal="center"/>
    </xf>
    <xf numFmtId="43" fontId="63" fillId="0" borderId="109" xfId="62" applyFont="1" applyBorder="1" applyProtection="1"/>
    <xf numFmtId="0" fontId="62" fillId="0" borderId="110" xfId="0" applyFont="1" applyBorder="1" applyAlignment="1">
      <alignment horizontal="left"/>
    </xf>
    <xf numFmtId="0" fontId="62" fillId="0" borderId="111" xfId="0" applyFont="1" applyBorder="1" applyAlignment="1">
      <alignment horizontal="left"/>
    </xf>
    <xf numFmtId="0" fontId="62" fillId="0" borderId="112" xfId="0" applyFont="1" applyBorder="1" applyAlignment="1">
      <alignment horizontal="left"/>
    </xf>
    <xf numFmtId="0" fontId="0" fillId="24" borderId="10" xfId="0" applyFill="1" applyBorder="1" applyAlignment="1">
      <alignment vertical="center"/>
    </xf>
    <xf numFmtId="0" fontId="0" fillId="24" borderId="41" xfId="0" applyFill="1" applyBorder="1" applyAlignment="1">
      <alignment vertical="center"/>
    </xf>
    <xf numFmtId="0" fontId="0" fillId="24" borderId="11" xfId="0" applyFill="1" applyBorder="1" applyAlignment="1">
      <alignment vertical="center"/>
    </xf>
    <xf numFmtId="0" fontId="0" fillId="24" borderId="12" xfId="0" applyFill="1" applyBorder="1" applyAlignment="1">
      <alignment vertical="center"/>
    </xf>
    <xf numFmtId="14" fontId="0" fillId="24" borderId="0" xfId="0" applyNumberFormat="1" applyFill="1" applyAlignment="1">
      <alignment horizontal="center" vertical="center"/>
    </xf>
    <xf numFmtId="0" fontId="0" fillId="24" borderId="46" xfId="0" applyFill="1" applyBorder="1" applyAlignment="1">
      <alignment vertical="center"/>
    </xf>
    <xf numFmtId="0" fontId="0" fillId="0" borderId="96" xfId="0" applyBorder="1" applyAlignment="1" applyProtection="1">
      <alignment vertical="center"/>
      <protection locked="0"/>
    </xf>
    <xf numFmtId="0" fontId="0" fillId="0" borderId="96" xfId="0" applyBorder="1" applyAlignment="1">
      <alignment vertical="center" wrapText="1"/>
    </xf>
    <xf numFmtId="0" fontId="0" fillId="24" borderId="48" xfId="0" applyFill="1" applyBorder="1" applyAlignment="1">
      <alignment vertical="center"/>
    </xf>
    <xf numFmtId="0" fontId="0" fillId="24" borderId="49" xfId="0" applyFill="1" applyBorder="1" applyAlignment="1">
      <alignment vertical="center"/>
    </xf>
    <xf numFmtId="0" fontId="0" fillId="24" borderId="13" xfId="0" applyFill="1" applyBorder="1" applyAlignment="1">
      <alignment vertical="center"/>
    </xf>
    <xf numFmtId="0" fontId="0" fillId="24" borderId="60" xfId="0" applyFill="1" applyBorder="1" applyAlignment="1">
      <alignment horizontal="center" vertical="center"/>
    </xf>
    <xf numFmtId="0" fontId="0" fillId="0" borderId="61" xfId="0" applyBorder="1" applyAlignment="1">
      <alignment vertical="center"/>
    </xf>
    <xf numFmtId="10" fontId="0" fillId="24" borderId="0" xfId="33" applyNumberFormat="1" applyFont="1" applyFill="1" applyAlignment="1">
      <alignment horizontal="center" vertical="center"/>
    </xf>
    <xf numFmtId="0" fontId="0" fillId="24" borderId="51" xfId="0" applyFill="1" applyBorder="1" applyAlignment="1">
      <alignment horizontal="center" vertical="center"/>
    </xf>
    <xf numFmtId="0" fontId="0" fillId="0" borderId="102" xfId="0" applyBorder="1" applyAlignment="1">
      <alignment vertical="center"/>
    </xf>
    <xf numFmtId="0" fontId="0" fillId="24" borderId="44" xfId="0" applyFill="1" applyBorder="1" applyAlignment="1">
      <alignment horizontal="center" vertical="center"/>
    </xf>
    <xf numFmtId="0" fontId="0" fillId="24" borderId="42" xfId="0" applyFill="1" applyBorder="1" applyAlignment="1">
      <alignment horizontal="center" vertical="center"/>
    </xf>
    <xf numFmtId="0" fontId="0" fillId="0" borderId="42" xfId="0" applyBorder="1" applyAlignment="1">
      <alignment vertical="center" wrapText="1"/>
    </xf>
    <xf numFmtId="0" fontId="0" fillId="24" borderId="58" xfId="0" applyFill="1" applyBorder="1" applyAlignment="1">
      <alignment vertical="center"/>
    </xf>
    <xf numFmtId="0" fontId="0" fillId="24" borderId="50" xfId="0" applyFill="1" applyBorder="1" applyAlignment="1">
      <alignment horizontal="center" vertical="center"/>
    </xf>
    <xf numFmtId="0" fontId="0" fillId="24" borderId="51" xfId="0" applyFill="1" applyBorder="1" applyAlignment="1">
      <alignment vertical="center"/>
    </xf>
    <xf numFmtId="173" fontId="0" fillId="24" borderId="18" xfId="62" applyNumberFormat="1" applyFont="1" applyFill="1" applyBorder="1" applyAlignment="1">
      <alignment horizontal="center" vertical="center"/>
    </xf>
    <xf numFmtId="10" fontId="0" fillId="24" borderId="0" xfId="33" applyNumberFormat="1" applyFont="1" applyFill="1" applyAlignment="1">
      <alignment vertical="center"/>
    </xf>
    <xf numFmtId="0" fontId="0" fillId="0" borderId="17" xfId="0" applyBorder="1" applyAlignment="1" applyProtection="1">
      <alignment vertical="center" wrapText="1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 wrapText="1"/>
      <protection locked="0"/>
    </xf>
    <xf numFmtId="0" fontId="0" fillId="24" borderId="40" xfId="0" applyFill="1" applyBorder="1" applyAlignment="1">
      <alignment vertical="center"/>
    </xf>
    <xf numFmtId="0" fontId="0" fillId="24" borderId="59" xfId="0" applyFill="1" applyBorder="1" applyAlignment="1">
      <alignment horizontal="center" vertical="center"/>
    </xf>
    <xf numFmtId="0" fontId="0" fillId="24" borderId="41" xfId="0" applyFill="1" applyBorder="1" applyAlignment="1">
      <alignment horizontal="center" vertical="center"/>
    </xf>
    <xf numFmtId="0" fontId="0" fillId="0" borderId="61" xfId="0" applyBorder="1" applyAlignment="1" applyProtection="1">
      <alignment vertical="center"/>
      <protection locked="0"/>
    </xf>
    <xf numFmtId="10" fontId="0" fillId="24" borderId="0" xfId="0" applyNumberFormat="1" applyFill="1" applyAlignment="1">
      <alignment horizontal="center" vertical="center"/>
    </xf>
    <xf numFmtId="0" fontId="0" fillId="24" borderId="11" xfId="0" applyFill="1" applyBorder="1" applyAlignment="1">
      <alignment horizontal="center" vertical="center"/>
    </xf>
    <xf numFmtId="0" fontId="0" fillId="0" borderId="104" xfId="0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174" fontId="0" fillId="24" borderId="0" xfId="33" applyNumberFormat="1" applyFont="1" applyFill="1" applyAlignment="1">
      <alignment horizontal="center" vertical="center"/>
    </xf>
    <xf numFmtId="0" fontId="0" fillId="24" borderId="42" xfId="0" applyFill="1" applyBorder="1" applyAlignment="1">
      <alignment vertical="center"/>
    </xf>
    <xf numFmtId="0" fontId="0" fillId="24" borderId="69" xfId="0" applyFill="1" applyBorder="1" applyAlignment="1">
      <alignment vertical="center"/>
    </xf>
    <xf numFmtId="174" fontId="0" fillId="24" borderId="0" xfId="33" applyNumberFormat="1" applyFont="1" applyFill="1" applyAlignment="1">
      <alignment vertical="center"/>
    </xf>
    <xf numFmtId="2" fontId="0" fillId="24" borderId="0" xfId="33" applyNumberFormat="1" applyFont="1" applyFill="1" applyAlignment="1">
      <alignment horizontal="center" vertical="center"/>
    </xf>
    <xf numFmtId="174" fontId="0" fillId="24" borderId="0" xfId="0" applyNumberFormat="1" applyFill="1" applyAlignment="1">
      <alignment vertical="center"/>
    </xf>
    <xf numFmtId="0" fontId="0" fillId="24" borderId="89" xfId="0" applyFill="1" applyBorder="1" applyAlignment="1">
      <alignment horizontal="center" vertical="center"/>
    </xf>
    <xf numFmtId="0" fontId="0" fillId="24" borderId="90" xfId="0" applyFill="1" applyBorder="1" applyAlignment="1">
      <alignment vertical="center"/>
    </xf>
    <xf numFmtId="39" fontId="0" fillId="24" borderId="0" xfId="0" applyNumberFormat="1" applyFill="1" applyAlignment="1">
      <alignment horizontal="center" vertical="center"/>
    </xf>
    <xf numFmtId="39" fontId="0" fillId="24" borderId="0" xfId="0" applyNumberFormat="1" applyFill="1" applyAlignment="1">
      <alignment vertical="center"/>
    </xf>
    <xf numFmtId="0" fontId="0" fillId="0" borderId="46" xfId="0" applyBorder="1" applyAlignment="1">
      <alignment vertical="center"/>
    </xf>
    <xf numFmtId="0" fontId="0" fillId="0" borderId="57" xfId="0" applyBorder="1" applyAlignment="1" applyProtection="1">
      <alignment horizontal="left" vertical="center"/>
      <protection locked="0"/>
    </xf>
    <xf numFmtId="0" fontId="0" fillId="0" borderId="88" xfId="0" applyBorder="1" applyAlignment="1" applyProtection="1">
      <alignment horizontal="left" vertical="center"/>
      <protection locked="0"/>
    </xf>
    <xf numFmtId="0" fontId="0" fillId="0" borderId="48" xfId="0" applyBorder="1" applyAlignment="1">
      <alignment vertical="center"/>
    </xf>
    <xf numFmtId="0" fontId="0" fillId="0" borderId="46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24" borderId="47" xfId="0" applyFill="1" applyBorder="1" applyAlignment="1">
      <alignment vertical="center"/>
    </xf>
    <xf numFmtId="0" fontId="0" fillId="0" borderId="90" xfId="0" applyBorder="1" applyAlignment="1">
      <alignment horizontal="justify" vertical="center" wrapText="1"/>
    </xf>
    <xf numFmtId="0" fontId="65" fillId="0" borderId="109" xfId="0" applyFont="1" applyBorder="1"/>
    <xf numFmtId="4" fontId="65" fillId="0" borderId="109" xfId="0" applyNumberFormat="1" applyFont="1" applyBorder="1"/>
    <xf numFmtId="0" fontId="65" fillId="0" borderId="109" xfId="0" applyFont="1" applyBorder="1" applyAlignment="1">
      <alignment horizontal="center"/>
    </xf>
    <xf numFmtId="0" fontId="65" fillId="0" borderId="110" xfId="0" applyFont="1" applyBorder="1"/>
    <xf numFmtId="0" fontId="65" fillId="0" borderId="111" xfId="0" applyFont="1" applyBorder="1"/>
    <xf numFmtId="0" fontId="65" fillId="0" borderId="112" xfId="0" applyFont="1" applyBorder="1"/>
    <xf numFmtId="43" fontId="65" fillId="0" borderId="109" xfId="62" applyFont="1" applyBorder="1" applyProtection="1"/>
    <xf numFmtId="0" fontId="65" fillId="0" borderId="109" xfId="0" applyFont="1" applyBorder="1" applyAlignment="1">
      <alignment horizontal="left"/>
    </xf>
    <xf numFmtId="43" fontId="65" fillId="0" borderId="109" xfId="62" applyFont="1" applyBorder="1" applyAlignment="1" applyProtection="1">
      <alignment horizontal="left"/>
    </xf>
    <xf numFmtId="175" fontId="65" fillId="0" borderId="109" xfId="62" applyNumberFormat="1" applyFont="1" applyBorder="1" applyAlignment="1" applyProtection="1">
      <alignment horizontal="center"/>
    </xf>
    <xf numFmtId="0" fontId="65" fillId="0" borderId="110" xfId="0" applyFont="1" applyBorder="1" applyAlignment="1">
      <alignment horizontal="left"/>
    </xf>
    <xf numFmtId="0" fontId="65" fillId="0" borderId="111" xfId="0" applyFont="1" applyBorder="1" applyAlignment="1">
      <alignment horizontal="left"/>
    </xf>
    <xf numFmtId="0" fontId="65" fillId="0" borderId="112" xfId="0" applyFont="1" applyBorder="1" applyAlignment="1">
      <alignment horizontal="left"/>
    </xf>
    <xf numFmtId="0" fontId="65" fillId="0" borderId="110" xfId="0" applyFont="1" applyBorder="1" applyAlignment="1">
      <alignment wrapText="1"/>
    </xf>
    <xf numFmtId="0" fontId="65" fillId="0" borderId="111" xfId="0" applyFont="1" applyBorder="1" applyAlignment="1">
      <alignment wrapText="1"/>
    </xf>
    <xf numFmtId="0" fontId="65" fillId="0" borderId="112" xfId="0" applyFont="1" applyBorder="1" applyAlignment="1">
      <alignment wrapText="1"/>
    </xf>
    <xf numFmtId="44" fontId="0" fillId="24" borderId="0" xfId="0" applyNumberFormat="1" applyFill="1" applyAlignment="1">
      <alignment vertical="center"/>
    </xf>
    <xf numFmtId="171" fontId="42" fillId="0" borderId="125" xfId="0" applyNumberFormat="1" applyFont="1" applyBorder="1" applyAlignment="1">
      <alignment vertical="center"/>
    </xf>
    <xf numFmtId="44" fontId="42" fillId="0" borderId="0" xfId="0" applyNumberFormat="1" applyFont="1" applyAlignment="1">
      <alignment vertical="center"/>
    </xf>
    <xf numFmtId="44" fontId="53" fillId="24" borderId="0" xfId="59" applyFont="1" applyFill="1" applyAlignment="1">
      <alignment horizontal="center" vertical="center"/>
    </xf>
    <xf numFmtId="178" fontId="53" fillId="0" borderId="14" xfId="0" applyNumberFormat="1" applyFont="1" applyBorder="1" applyAlignment="1">
      <alignment horizontal="center" vertical="center"/>
    </xf>
    <xf numFmtId="178" fontId="53" fillId="0" borderId="104" xfId="0" applyNumberFormat="1" applyFont="1" applyBorder="1" applyAlignment="1">
      <alignment horizontal="center" vertical="center"/>
    </xf>
    <xf numFmtId="178" fontId="53" fillId="24" borderId="104" xfId="0" applyNumberFormat="1" applyFont="1" applyFill="1" applyBorder="1" applyAlignment="1">
      <alignment horizontal="center" vertical="center"/>
    </xf>
    <xf numFmtId="178" fontId="54" fillId="24" borderId="18" xfId="0" applyNumberFormat="1" applyFont="1" applyFill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04" xfId="0" applyNumberFormat="1" applyBorder="1" applyAlignment="1">
      <alignment horizontal="center" vertical="center"/>
    </xf>
    <xf numFmtId="2" fontId="19" fillId="24" borderId="18" xfId="0" applyNumberFormat="1" applyFont="1" applyFill="1" applyBorder="1" applyAlignment="1">
      <alignment horizontal="center" vertical="center"/>
    </xf>
    <xf numFmtId="0" fontId="49" fillId="27" borderId="80" xfId="0" applyFont="1" applyFill="1" applyBorder="1" applyAlignment="1">
      <alignment horizontal="center" vertical="center"/>
    </xf>
    <xf numFmtId="0" fontId="30" fillId="27" borderId="0" xfId="0" applyFont="1" applyFill="1" applyAlignment="1">
      <alignment horizontal="center" vertical="center"/>
    </xf>
    <xf numFmtId="0" fontId="48" fillId="27" borderId="80" xfId="0" applyFont="1" applyFill="1" applyBorder="1" applyAlignment="1">
      <alignment horizontal="left" vertical="center"/>
    </xf>
    <xf numFmtId="14" fontId="48" fillId="27" borderId="80" xfId="0" applyNumberFormat="1" applyFont="1" applyFill="1" applyBorder="1" applyAlignment="1">
      <alignment horizontal="center" vertical="center"/>
    </xf>
    <xf numFmtId="0" fontId="48" fillId="27" borderId="80" xfId="0" applyFont="1" applyFill="1" applyBorder="1" applyAlignment="1">
      <alignment horizontal="center" vertical="center"/>
    </xf>
    <xf numFmtId="0" fontId="49" fillId="27" borderId="81" xfId="0" applyFont="1" applyFill="1" applyBorder="1" applyAlignment="1">
      <alignment horizontal="center" vertical="center"/>
    </xf>
    <xf numFmtId="0" fontId="49" fillId="27" borderId="82" xfId="0" applyFont="1" applyFill="1" applyBorder="1" applyAlignment="1">
      <alignment horizontal="center" vertical="center"/>
    </xf>
    <xf numFmtId="0" fontId="49" fillId="27" borderId="83" xfId="0" applyFont="1" applyFill="1" applyBorder="1" applyAlignment="1">
      <alignment horizontal="center" vertical="center"/>
    </xf>
    <xf numFmtId="0" fontId="48" fillId="27" borderId="81" xfId="0" applyFont="1" applyFill="1" applyBorder="1" applyAlignment="1">
      <alignment horizontal="left" vertical="center"/>
    </xf>
    <xf numFmtId="0" fontId="48" fillId="27" borderId="82" xfId="0" applyFont="1" applyFill="1" applyBorder="1" applyAlignment="1">
      <alignment horizontal="left" vertical="center"/>
    </xf>
    <xf numFmtId="0" fontId="50" fillId="27" borderId="80" xfId="60" applyFont="1" applyFill="1" applyBorder="1" applyAlignment="1">
      <alignment horizontal="center" vertical="center"/>
    </xf>
    <xf numFmtId="0" fontId="51" fillId="27" borderId="0" xfId="0" applyFont="1" applyFill="1" applyAlignment="1">
      <alignment horizontal="center" vertical="center"/>
    </xf>
    <xf numFmtId="0" fontId="48" fillId="27" borderId="0" xfId="0" applyFont="1" applyFill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1" fillId="26" borderId="128" xfId="0" applyFont="1" applyFill="1" applyBorder="1" applyAlignment="1">
      <alignment horizontal="center" vertical="center"/>
    </xf>
    <xf numFmtId="0" fontId="31" fillId="26" borderId="117" xfId="0" applyFont="1" applyFill="1" applyBorder="1" applyAlignment="1">
      <alignment horizontal="center" vertical="center"/>
    </xf>
    <xf numFmtId="0" fontId="31" fillId="26" borderId="129" xfId="0" applyFont="1" applyFill="1" applyBorder="1" applyAlignment="1">
      <alignment horizontal="center" vertical="center"/>
    </xf>
    <xf numFmtId="0" fontId="48" fillId="0" borderId="35" xfId="0" applyFont="1" applyBorder="1" applyAlignment="1" applyProtection="1">
      <alignment horizontal="left" vertical="center"/>
      <protection locked="0"/>
    </xf>
    <xf numFmtId="0" fontId="48" fillId="0" borderId="36" xfId="0" applyFont="1" applyBorder="1" applyAlignment="1" applyProtection="1">
      <alignment horizontal="left" vertical="center"/>
      <protection locked="0"/>
    </xf>
    <xf numFmtId="0" fontId="36" fillId="27" borderId="35" xfId="0" applyFont="1" applyFill="1" applyBorder="1" applyAlignment="1">
      <alignment horizontal="center" vertical="center"/>
    </xf>
    <xf numFmtId="0" fontId="36" fillId="27" borderId="36" xfId="0" applyFont="1" applyFill="1" applyBorder="1" applyAlignment="1">
      <alignment horizontal="center" vertical="center"/>
    </xf>
    <xf numFmtId="0" fontId="60" fillId="30" borderId="126" xfId="0" applyFont="1" applyFill="1" applyBorder="1" applyAlignment="1">
      <alignment horizontal="center"/>
    </xf>
    <xf numFmtId="0" fontId="60" fillId="30" borderId="107" xfId="0" applyFont="1" applyFill="1" applyBorder="1" applyAlignment="1">
      <alignment horizontal="center"/>
    </xf>
    <xf numFmtId="0" fontId="60" fillId="30" borderId="127" xfId="0" applyFont="1" applyFill="1" applyBorder="1" applyAlignment="1">
      <alignment horizontal="center"/>
    </xf>
    <xf numFmtId="0" fontId="57" fillId="30" borderId="0" xfId="0" applyFont="1" applyFill="1" applyAlignment="1">
      <alignment horizontal="center"/>
    </xf>
    <xf numFmtId="0" fontId="19" fillId="0" borderId="62" xfId="0" applyFont="1" applyBorder="1" applyAlignment="1" applyProtection="1">
      <alignment horizontal="center" vertical="center"/>
      <protection locked="0"/>
    </xf>
    <xf numFmtId="0" fontId="19" fillId="0" borderId="63" xfId="0" applyFont="1" applyBorder="1" applyAlignment="1" applyProtection="1">
      <alignment horizontal="center" vertical="center"/>
      <protection locked="0"/>
    </xf>
    <xf numFmtId="0" fontId="19" fillId="0" borderId="64" xfId="0" applyFont="1" applyBorder="1" applyAlignment="1" applyProtection="1">
      <alignment horizontal="center" vertical="center"/>
      <protection locked="0"/>
    </xf>
    <xf numFmtId="0" fontId="19" fillId="0" borderId="114" xfId="0" applyFont="1" applyBorder="1" applyAlignment="1" applyProtection="1">
      <alignment horizontal="center" vertical="center"/>
      <protection locked="0"/>
    </xf>
    <xf numFmtId="0" fontId="19" fillId="0" borderId="31" xfId="0" applyFont="1" applyBorder="1" applyAlignment="1" applyProtection="1">
      <alignment horizontal="center" vertical="center"/>
      <protection locked="0"/>
    </xf>
    <xf numFmtId="0" fontId="52" fillId="0" borderId="40" xfId="0" applyFont="1" applyBorder="1" applyAlignment="1">
      <alignment horizontal="center"/>
    </xf>
    <xf numFmtId="0" fontId="52" fillId="0" borderId="35" xfId="0" applyFont="1" applyBorder="1" applyAlignment="1">
      <alignment horizontal="center"/>
    </xf>
    <xf numFmtId="0" fontId="52" fillId="0" borderId="36" xfId="0" applyFont="1" applyBorder="1" applyAlignment="1">
      <alignment horizontal="center"/>
    </xf>
    <xf numFmtId="0" fontId="19" fillId="0" borderId="40" xfId="0" applyFont="1" applyBorder="1" applyAlignment="1">
      <alignment horizontal="center"/>
    </xf>
    <xf numFmtId="0" fontId="19" fillId="0" borderId="35" xfId="0" applyFont="1" applyBorder="1" applyAlignment="1">
      <alignment horizontal="center"/>
    </xf>
    <xf numFmtId="0" fontId="19" fillId="0" borderId="36" xfId="0" applyFont="1" applyBorder="1" applyAlignment="1">
      <alignment horizontal="center"/>
    </xf>
    <xf numFmtId="0" fontId="19" fillId="0" borderId="40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0" borderId="114" xfId="0" applyFont="1" applyBorder="1" applyAlignment="1">
      <alignment horizontal="center"/>
    </xf>
    <xf numFmtId="0" fontId="52" fillId="0" borderId="114" xfId="0" applyFont="1" applyBorder="1" applyAlignment="1">
      <alignment horizontal="center"/>
    </xf>
    <xf numFmtId="0" fontId="43" fillId="0" borderId="0" xfId="0" applyFont="1" applyAlignment="1">
      <alignment horizontal="left"/>
    </xf>
    <xf numFmtId="0" fontId="36" fillId="0" borderId="0" xfId="0" applyFont="1"/>
    <xf numFmtId="0" fontId="44" fillId="0" borderId="117" xfId="0" applyFont="1" applyBorder="1" applyAlignment="1">
      <alignment horizontal="right"/>
    </xf>
    <xf numFmtId="0" fontId="36" fillId="0" borderId="35" xfId="0" applyFont="1" applyBorder="1"/>
    <xf numFmtId="0" fontId="36" fillId="0" borderId="36" xfId="0" applyFont="1" applyBorder="1"/>
    <xf numFmtId="0" fontId="0" fillId="0" borderId="110" xfId="0" applyBorder="1" applyAlignment="1">
      <alignment horizontal="left"/>
    </xf>
    <xf numFmtId="0" fontId="0" fillId="0" borderId="111" xfId="0" applyBorder="1" applyAlignment="1">
      <alignment horizontal="left"/>
    </xf>
    <xf numFmtId="0" fontId="0" fillId="0" borderId="112" xfId="0" applyBorder="1" applyAlignment="1">
      <alignment horizontal="left"/>
    </xf>
    <xf numFmtId="0" fontId="35" fillId="0" borderId="110" xfId="0" applyFont="1" applyBorder="1" applyAlignment="1">
      <alignment horizontal="center"/>
    </xf>
    <xf numFmtId="0" fontId="35" fillId="0" borderId="111" xfId="0" applyFont="1" applyBorder="1" applyAlignment="1">
      <alignment horizontal="center"/>
    </xf>
    <xf numFmtId="0" fontId="35" fillId="0" borderId="112" xfId="0" applyFont="1" applyBorder="1" applyAlignment="1">
      <alignment horizontal="center"/>
    </xf>
    <xf numFmtId="0" fontId="35" fillId="0" borderId="37" xfId="0" applyFont="1" applyBorder="1" applyAlignment="1">
      <alignment horizontal="center"/>
    </xf>
    <xf numFmtId="0" fontId="35" fillId="0" borderId="107" xfId="0" applyFont="1" applyBorder="1" applyAlignment="1">
      <alignment horizontal="center"/>
    </xf>
    <xf numFmtId="0" fontId="35" fillId="0" borderId="113" xfId="0" applyFont="1" applyBorder="1" applyAlignment="1">
      <alignment horizontal="center"/>
    </xf>
    <xf numFmtId="0" fontId="35" fillId="0" borderId="91" xfId="0" applyFont="1" applyBorder="1" applyAlignment="1">
      <alignment horizontal="center"/>
    </xf>
    <xf numFmtId="0" fontId="44" fillId="0" borderId="110" xfId="0" applyFont="1" applyBorder="1" applyAlignment="1">
      <alignment horizontal="center"/>
    </xf>
    <xf numFmtId="0" fontId="44" fillId="0" borderId="111" xfId="0" applyFont="1" applyBorder="1" applyAlignment="1">
      <alignment horizontal="center"/>
    </xf>
    <xf numFmtId="0" fontId="44" fillId="0" borderId="112" xfId="0" applyFont="1" applyBorder="1" applyAlignment="1">
      <alignment horizontal="center"/>
    </xf>
    <xf numFmtId="4" fontId="53" fillId="24" borderId="104" xfId="0" applyNumberFormat="1" applyFont="1" applyFill="1" applyBorder="1" applyAlignment="1">
      <alignment horizontal="center" vertical="center"/>
    </xf>
    <xf numFmtId="4" fontId="53" fillId="24" borderId="20" xfId="0" applyNumberFormat="1" applyFont="1" applyFill="1" applyBorder="1" applyAlignment="1">
      <alignment horizontal="center" vertical="center"/>
    </xf>
    <xf numFmtId="4" fontId="53" fillId="24" borderId="85" xfId="0" applyNumberFormat="1" applyFont="1" applyFill="1" applyBorder="1" applyAlignment="1">
      <alignment horizontal="center" vertical="center"/>
    </xf>
    <xf numFmtId="4" fontId="53" fillId="24" borderId="86" xfId="0" applyNumberFormat="1" applyFont="1" applyFill="1" applyBorder="1" applyAlignment="1">
      <alignment horizontal="center" vertical="center"/>
    </xf>
    <xf numFmtId="4" fontId="53" fillId="24" borderId="87" xfId="0" applyNumberFormat="1" applyFont="1" applyFill="1" applyBorder="1" applyAlignment="1">
      <alignment horizontal="center" vertical="center"/>
    </xf>
    <xf numFmtId="4" fontId="54" fillId="24" borderId="85" xfId="0" applyNumberFormat="1" applyFont="1" applyFill="1" applyBorder="1" applyAlignment="1">
      <alignment horizontal="center" vertical="center"/>
    </xf>
    <xf numFmtId="4" fontId="54" fillId="24" borderId="86" xfId="0" applyNumberFormat="1" applyFont="1" applyFill="1" applyBorder="1" applyAlignment="1">
      <alignment horizontal="center" vertical="center"/>
    </xf>
    <xf numFmtId="4" fontId="54" fillId="24" borderId="87" xfId="0" applyNumberFormat="1" applyFont="1" applyFill="1" applyBorder="1" applyAlignment="1">
      <alignment horizontal="center" vertical="center"/>
    </xf>
    <xf numFmtId="4" fontId="54" fillId="24" borderId="32" xfId="0" applyNumberFormat="1" applyFont="1" applyFill="1" applyBorder="1" applyAlignment="1">
      <alignment horizontal="center" vertical="center"/>
    </xf>
    <xf numFmtId="4" fontId="54" fillId="24" borderId="39" xfId="0" applyNumberFormat="1" applyFont="1" applyFill="1" applyBorder="1" applyAlignment="1">
      <alignment horizontal="center" vertical="center"/>
    </xf>
    <xf numFmtId="4" fontId="54" fillId="24" borderId="33" xfId="0" applyNumberFormat="1" applyFont="1" applyFill="1" applyBorder="1" applyAlignment="1">
      <alignment horizontal="center" vertical="center"/>
    </xf>
    <xf numFmtId="2" fontId="54" fillId="24" borderId="49" xfId="0" applyNumberFormat="1" applyFont="1" applyFill="1" applyBorder="1" applyAlignment="1">
      <alignment horizontal="center" vertical="center"/>
    </xf>
    <xf numFmtId="2" fontId="54" fillId="24" borderId="25" xfId="0" applyNumberFormat="1" applyFont="1" applyFill="1" applyBorder="1" applyAlignment="1">
      <alignment horizontal="center" vertical="center"/>
    </xf>
    <xf numFmtId="2" fontId="54" fillId="24" borderId="26" xfId="0" applyNumberFormat="1" applyFont="1" applyFill="1" applyBorder="1" applyAlignment="1">
      <alignment horizontal="center" vertical="center"/>
    </xf>
    <xf numFmtId="2" fontId="54" fillId="24" borderId="32" xfId="0" applyNumberFormat="1" applyFont="1" applyFill="1" applyBorder="1" applyAlignment="1">
      <alignment horizontal="center" vertical="center"/>
    </xf>
    <xf numFmtId="2" fontId="54" fillId="24" borderId="33" xfId="0" applyNumberFormat="1" applyFont="1" applyFill="1" applyBorder="1" applyAlignment="1">
      <alignment horizontal="center" vertical="center"/>
    </xf>
    <xf numFmtId="0" fontId="54" fillId="24" borderId="0" xfId="0" applyFont="1" applyFill="1" applyAlignment="1">
      <alignment horizontal="center" vertical="center"/>
    </xf>
    <xf numFmtId="0" fontId="54" fillId="0" borderId="27" xfId="0" applyFont="1" applyBorder="1" applyAlignment="1">
      <alignment horizontal="center" vertical="center" wrapText="1"/>
    </xf>
    <xf numFmtId="0" fontId="54" fillId="0" borderId="25" xfId="0" applyFont="1" applyBorder="1" applyAlignment="1">
      <alignment horizontal="center" vertical="center" wrapText="1"/>
    </xf>
    <xf numFmtId="0" fontId="54" fillId="0" borderId="26" xfId="0" applyFont="1" applyBorder="1" applyAlignment="1">
      <alignment horizontal="center" vertical="center" wrapText="1"/>
    </xf>
    <xf numFmtId="4" fontId="53" fillId="24" borderId="14" xfId="0" applyNumberFormat="1" applyFont="1" applyFill="1" applyBorder="1" applyAlignment="1">
      <alignment horizontal="center" vertical="center"/>
    </xf>
    <xf numFmtId="4" fontId="53" fillId="24" borderId="19" xfId="0" applyNumberFormat="1" applyFont="1" applyFill="1" applyBorder="1" applyAlignment="1">
      <alignment horizontal="center" vertical="center"/>
    </xf>
    <xf numFmtId="2" fontId="53" fillId="24" borderId="104" xfId="0" applyNumberFormat="1" applyFont="1" applyFill="1" applyBorder="1" applyAlignment="1">
      <alignment horizontal="center" vertical="center"/>
    </xf>
    <xf numFmtId="2" fontId="53" fillId="24" borderId="20" xfId="0" applyNumberFormat="1" applyFont="1" applyFill="1" applyBorder="1" applyAlignment="1">
      <alignment horizontal="center" vertical="center"/>
    </xf>
    <xf numFmtId="39" fontId="53" fillId="0" borderId="104" xfId="0" applyNumberFormat="1" applyFont="1" applyBorder="1" applyAlignment="1" applyProtection="1">
      <alignment horizontal="center" vertical="center"/>
      <protection locked="0"/>
    </xf>
    <xf numFmtId="39" fontId="53" fillId="0" borderId="20" xfId="0" applyNumberFormat="1" applyFont="1" applyBorder="1" applyAlignment="1" applyProtection="1">
      <alignment horizontal="center" vertical="center"/>
      <protection locked="0"/>
    </xf>
    <xf numFmtId="39" fontId="54" fillId="0" borderId="18" xfId="0" applyNumberFormat="1" applyFont="1" applyBorder="1" applyAlignment="1" applyProtection="1">
      <alignment horizontal="center" vertical="center"/>
      <protection locked="0"/>
    </xf>
    <xf numFmtId="39" fontId="54" fillId="0" borderId="21" xfId="0" applyNumberFormat="1" applyFont="1" applyBorder="1" applyAlignment="1" applyProtection="1">
      <alignment horizontal="center" vertical="center"/>
      <protection locked="0"/>
    </xf>
    <xf numFmtId="0" fontId="54" fillId="0" borderId="75" xfId="0" applyFont="1" applyBorder="1" applyAlignment="1" applyProtection="1">
      <alignment horizontal="center" vertical="center"/>
      <protection locked="0"/>
    </xf>
    <xf numFmtId="0" fontId="54" fillId="0" borderId="31" xfId="0" applyFont="1" applyBorder="1" applyAlignment="1" applyProtection="1">
      <alignment horizontal="center" vertical="center"/>
      <protection locked="0"/>
    </xf>
    <xf numFmtId="2" fontId="53" fillId="24" borderId="14" xfId="0" applyNumberFormat="1" applyFont="1" applyFill="1" applyBorder="1" applyAlignment="1">
      <alignment horizontal="center" vertical="center"/>
    </xf>
    <xf numFmtId="2" fontId="53" fillId="24" borderId="19" xfId="0" applyNumberFormat="1" applyFont="1" applyFill="1" applyBorder="1" applyAlignment="1">
      <alignment horizontal="center" vertical="center"/>
    </xf>
    <xf numFmtId="39" fontId="53" fillId="0" borderId="65" xfId="0" applyNumberFormat="1" applyFont="1" applyBorder="1" applyAlignment="1">
      <alignment horizontal="center" vertical="center"/>
    </xf>
    <xf numFmtId="39" fontId="53" fillId="0" borderId="105" xfId="0" applyNumberFormat="1" applyFont="1" applyBorder="1" applyAlignment="1">
      <alignment horizontal="center" vertical="center"/>
    </xf>
    <xf numFmtId="39" fontId="53" fillId="0" borderId="66" xfId="0" applyNumberFormat="1" applyFont="1" applyBorder="1" applyAlignment="1">
      <alignment horizontal="center" vertical="center"/>
    </xf>
    <xf numFmtId="39" fontId="53" fillId="0" borderId="85" xfId="0" applyNumberFormat="1" applyFont="1" applyBorder="1" applyAlignment="1">
      <alignment horizontal="center" vertical="center"/>
    </xf>
    <xf numFmtId="39" fontId="53" fillId="0" borderId="86" xfId="0" applyNumberFormat="1" applyFont="1" applyBorder="1" applyAlignment="1">
      <alignment horizontal="center" vertical="center"/>
    </xf>
    <xf numFmtId="39" fontId="53" fillId="0" borderId="87" xfId="0" applyNumberFormat="1" applyFont="1" applyBorder="1" applyAlignment="1">
      <alignment horizontal="center" vertical="center"/>
    </xf>
    <xf numFmtId="39" fontId="54" fillId="0" borderId="35" xfId="0" applyNumberFormat="1" applyFont="1" applyBorder="1" applyAlignment="1">
      <alignment horizontal="center" vertical="center"/>
    </xf>
    <xf numFmtId="39" fontId="54" fillId="0" borderId="36" xfId="0" applyNumberFormat="1" applyFont="1" applyBorder="1" applyAlignment="1">
      <alignment horizontal="center" vertical="center"/>
    </xf>
    <xf numFmtId="0" fontId="54" fillId="0" borderId="74" xfId="0" applyFont="1" applyBorder="1" applyAlignment="1" applyProtection="1">
      <alignment horizontal="center" vertical="center"/>
      <protection locked="0"/>
    </xf>
    <xf numFmtId="0" fontId="54" fillId="0" borderId="22" xfId="0" applyFont="1" applyBorder="1" applyAlignment="1" applyProtection="1">
      <alignment horizontal="center" vertical="center"/>
      <protection locked="0"/>
    </xf>
    <xf numFmtId="0" fontId="54" fillId="0" borderId="23" xfId="0" applyFont="1" applyBorder="1" applyAlignment="1" applyProtection="1">
      <alignment horizontal="center" vertical="center"/>
      <protection locked="0"/>
    </xf>
    <xf numFmtId="0" fontId="54" fillId="0" borderId="29" xfId="0" applyFont="1" applyBorder="1" applyAlignment="1" applyProtection="1">
      <alignment horizontal="center" vertical="center"/>
      <protection locked="0"/>
    </xf>
    <xf numFmtId="0" fontId="54" fillId="0" borderId="30" xfId="0" applyFont="1" applyBorder="1" applyAlignment="1" applyProtection="1">
      <alignment horizontal="center" vertical="center"/>
      <protection locked="0"/>
    </xf>
    <xf numFmtId="39" fontId="53" fillId="0" borderId="24" xfId="0" applyNumberFormat="1" applyFont="1" applyBorder="1" applyAlignment="1" applyProtection="1">
      <alignment horizontal="center" vertical="center"/>
      <protection locked="0"/>
    </xf>
    <xf numFmtId="39" fontId="53" fillId="0" borderId="25" xfId="0" applyNumberFormat="1" applyFont="1" applyBorder="1" applyAlignment="1" applyProtection="1">
      <alignment horizontal="center" vertical="center"/>
      <protection locked="0"/>
    </xf>
    <xf numFmtId="39" fontId="53" fillId="0" borderId="26" xfId="0" applyNumberFormat="1" applyFont="1" applyBorder="1" applyAlignment="1" applyProtection="1">
      <alignment horizontal="center" vertical="center"/>
      <protection locked="0"/>
    </xf>
    <xf numFmtId="0" fontId="54" fillId="0" borderId="73" xfId="0" applyFont="1" applyBorder="1" applyAlignment="1" applyProtection="1">
      <alignment horizontal="left" vertical="center"/>
      <protection locked="0"/>
    </xf>
    <xf numFmtId="0" fontId="54" fillId="0" borderId="63" xfId="0" applyFont="1" applyBorder="1" applyAlignment="1" applyProtection="1">
      <alignment horizontal="left" vertical="center"/>
      <protection locked="0"/>
    </xf>
    <xf numFmtId="0" fontId="54" fillId="0" borderId="64" xfId="0" applyFont="1" applyBorder="1" applyAlignment="1" applyProtection="1">
      <alignment horizontal="left" vertical="center"/>
      <protection locked="0"/>
    </xf>
    <xf numFmtId="0" fontId="54" fillId="0" borderId="61" xfId="0" applyFont="1" applyBorder="1" applyAlignment="1">
      <alignment horizontal="center" vertical="center" wrapText="1"/>
    </xf>
    <xf numFmtId="0" fontId="54" fillId="0" borderId="56" xfId="0" applyFont="1" applyBorder="1" applyAlignment="1">
      <alignment horizontal="center" vertical="center" wrapText="1"/>
    </xf>
    <xf numFmtId="0" fontId="53" fillId="24" borderId="32" xfId="0" applyFont="1" applyFill="1" applyBorder="1" applyAlignment="1">
      <alignment horizontal="center" vertical="center"/>
    </xf>
    <xf numFmtId="0" fontId="53" fillId="24" borderId="39" xfId="0" applyFont="1" applyFill="1" applyBorder="1" applyAlignment="1">
      <alignment horizontal="center" vertical="center"/>
    </xf>
    <xf numFmtId="0" fontId="53" fillId="24" borderId="33" xfId="0" applyFont="1" applyFill="1" applyBorder="1" applyAlignment="1">
      <alignment horizontal="center" vertical="center"/>
    </xf>
    <xf numFmtId="2" fontId="54" fillId="29" borderId="63" xfId="0" applyNumberFormat="1" applyFont="1" applyFill="1" applyBorder="1" applyAlignment="1">
      <alignment horizontal="center" vertical="center"/>
    </xf>
    <xf numFmtId="2" fontId="54" fillId="29" borderId="64" xfId="0" applyNumberFormat="1" applyFont="1" applyFill="1" applyBorder="1" applyAlignment="1">
      <alignment horizontal="center" vertical="center"/>
    </xf>
    <xf numFmtId="0" fontId="54" fillId="0" borderId="40" xfId="0" applyFont="1" applyBorder="1" applyAlignment="1" applyProtection="1">
      <alignment horizontal="center" vertical="center"/>
      <protection locked="0"/>
    </xf>
    <xf numFmtId="0" fontId="54" fillId="0" borderId="35" xfId="0" applyFont="1" applyBorder="1" applyAlignment="1" applyProtection="1">
      <alignment horizontal="center" vertical="center"/>
      <protection locked="0"/>
    </xf>
    <xf numFmtId="0" fontId="54" fillId="0" borderId="36" xfId="0" applyFont="1" applyBorder="1" applyAlignment="1" applyProtection="1">
      <alignment horizontal="center" vertical="center"/>
      <protection locked="0"/>
    </xf>
    <xf numFmtId="39" fontId="54" fillId="0" borderId="67" xfId="0" applyNumberFormat="1" applyFont="1" applyBorder="1" applyAlignment="1">
      <alignment horizontal="center" vertical="center"/>
    </xf>
    <xf numFmtId="39" fontId="54" fillId="0" borderId="68" xfId="0" applyNumberFormat="1" applyFont="1" applyBorder="1" applyAlignment="1">
      <alignment horizontal="center" vertical="center"/>
    </xf>
    <xf numFmtId="2" fontId="54" fillId="24" borderId="39" xfId="0" applyNumberFormat="1" applyFont="1" applyFill="1" applyBorder="1" applyAlignment="1">
      <alignment horizontal="center" vertical="center"/>
    </xf>
    <xf numFmtId="0" fontId="54" fillId="0" borderId="70" xfId="0" applyFont="1" applyBorder="1" applyAlignment="1" applyProtection="1">
      <alignment horizontal="center" vertical="center"/>
      <protection locked="0"/>
    </xf>
    <xf numFmtId="0" fontId="54" fillId="0" borderId="71" xfId="0" applyFont="1" applyBorder="1" applyAlignment="1" applyProtection="1">
      <alignment horizontal="center" vertical="center"/>
      <protection locked="0"/>
    </xf>
    <xf numFmtId="0" fontId="54" fillId="0" borderId="72" xfId="0" applyFont="1" applyBorder="1" applyAlignment="1" applyProtection="1">
      <alignment horizontal="center" vertical="center"/>
      <protection locked="0"/>
    </xf>
    <xf numFmtId="0" fontId="54" fillId="0" borderId="35" xfId="0" applyFont="1" applyBorder="1" applyAlignment="1" applyProtection="1">
      <alignment horizontal="left" vertical="center"/>
      <protection locked="0"/>
    </xf>
    <xf numFmtId="0" fontId="54" fillId="0" borderId="36" xfId="0" applyFont="1" applyBorder="1" applyAlignment="1" applyProtection="1">
      <alignment horizontal="left" vertical="center"/>
      <protection locked="0"/>
    </xf>
    <xf numFmtId="39" fontId="53" fillId="0" borderId="32" xfId="0" applyNumberFormat="1" applyFont="1" applyBorder="1" applyAlignment="1">
      <alignment horizontal="center" vertical="center"/>
    </xf>
    <xf numFmtId="39" fontId="53" fillId="0" borderId="39" xfId="0" applyNumberFormat="1" applyFont="1" applyBorder="1" applyAlignment="1">
      <alignment horizontal="center" vertical="center"/>
    </xf>
    <xf numFmtId="39" fontId="53" fillId="0" borderId="33" xfId="0" applyNumberFormat="1" applyFont="1" applyBorder="1" applyAlignment="1">
      <alignment horizontal="center" vertical="center"/>
    </xf>
    <xf numFmtId="39" fontId="54" fillId="0" borderId="40" xfId="0" applyNumberFormat="1" applyFont="1" applyBorder="1" applyAlignment="1">
      <alignment horizontal="center" vertical="center"/>
    </xf>
    <xf numFmtId="0" fontId="54" fillId="0" borderId="77" xfId="0" applyFont="1" applyBorder="1" applyAlignment="1" applyProtection="1">
      <alignment horizontal="center" vertical="center"/>
      <protection locked="0"/>
    </xf>
    <xf numFmtId="0" fontId="54" fillId="0" borderId="34" xfId="0" applyFont="1" applyBorder="1" applyAlignment="1">
      <alignment horizontal="center" vertical="center" wrapText="1"/>
    </xf>
    <xf numFmtId="0" fontId="54" fillId="0" borderId="35" xfId="0" applyFont="1" applyBorder="1" applyAlignment="1">
      <alignment horizontal="center" vertical="center" wrapText="1"/>
    </xf>
    <xf numFmtId="0" fontId="54" fillId="0" borderId="36" xfId="0" applyFont="1" applyBorder="1" applyAlignment="1">
      <alignment horizontal="center" vertical="center" wrapText="1"/>
    </xf>
    <xf numFmtId="2" fontId="53" fillId="24" borderId="37" xfId="0" applyNumberFormat="1" applyFont="1" applyFill="1" applyBorder="1" applyAlignment="1">
      <alignment horizontal="center" vertical="center"/>
    </xf>
    <xf numFmtId="2" fontId="53" fillId="24" borderId="107" xfId="0" applyNumberFormat="1" applyFont="1" applyFill="1" applyBorder="1" applyAlignment="1">
      <alignment horizontal="center" vertical="center"/>
    </xf>
    <xf numFmtId="2" fontId="53" fillId="24" borderId="38" xfId="0" applyNumberFormat="1" applyFont="1" applyFill="1" applyBorder="1" applyAlignment="1">
      <alignment horizontal="center" vertical="center"/>
    </xf>
    <xf numFmtId="0" fontId="54" fillId="0" borderId="0" xfId="0" applyFont="1" applyAlignment="1" applyProtection="1">
      <alignment horizontal="center" vertical="center"/>
      <protection locked="0"/>
    </xf>
    <xf numFmtId="0" fontId="54" fillId="0" borderId="45" xfId="0" applyFont="1" applyBorder="1" applyAlignment="1" applyProtection="1">
      <alignment horizontal="center" vertical="center"/>
      <protection locked="0"/>
    </xf>
    <xf numFmtId="4" fontId="53" fillId="0" borderId="24" xfId="0" applyNumberFormat="1" applyFont="1" applyBorder="1" applyAlignment="1" applyProtection="1">
      <alignment horizontal="center" vertical="center"/>
      <protection locked="0"/>
    </xf>
    <xf numFmtId="4" fontId="53" fillId="0" borderId="25" xfId="0" applyNumberFormat="1" applyFont="1" applyBorder="1" applyAlignment="1" applyProtection="1">
      <alignment horizontal="center" vertical="center"/>
      <protection locked="0"/>
    </xf>
    <xf numFmtId="4" fontId="53" fillId="0" borderId="26" xfId="0" applyNumberFormat="1" applyFont="1" applyBorder="1" applyAlignment="1" applyProtection="1">
      <alignment horizontal="center" vertical="center"/>
      <protection locked="0"/>
    </xf>
    <xf numFmtId="39" fontId="53" fillId="25" borderId="104" xfId="0" applyNumberFormat="1" applyFont="1" applyFill="1" applyBorder="1" applyAlignment="1" applyProtection="1">
      <alignment horizontal="center" vertical="center"/>
      <protection locked="0"/>
    </xf>
    <xf numFmtId="39" fontId="53" fillId="25" borderId="20" xfId="0" applyNumberFormat="1" applyFont="1" applyFill="1" applyBorder="1" applyAlignment="1" applyProtection="1">
      <alignment horizontal="center" vertical="center"/>
      <protection locked="0"/>
    </xf>
    <xf numFmtId="4" fontId="53" fillId="0" borderId="97" xfId="0" applyNumberFormat="1" applyFont="1" applyBorder="1" applyAlignment="1" applyProtection="1">
      <alignment horizontal="center" vertical="center"/>
      <protection locked="0"/>
    </xf>
    <xf numFmtId="4" fontId="53" fillId="0" borderId="94" xfId="0" applyNumberFormat="1" applyFont="1" applyBorder="1" applyAlignment="1" applyProtection="1">
      <alignment horizontal="center" vertical="center"/>
      <protection locked="0"/>
    </xf>
    <xf numFmtId="4" fontId="53" fillId="0" borderId="95" xfId="0" applyNumberFormat="1" applyFont="1" applyBorder="1" applyAlignment="1" applyProtection="1">
      <alignment horizontal="center" vertical="center"/>
      <protection locked="0"/>
    </xf>
    <xf numFmtId="0" fontId="54" fillId="0" borderId="52" xfId="0" applyFont="1" applyBorder="1" applyAlignment="1" applyProtection="1">
      <alignment horizontal="center" vertical="center"/>
      <protection locked="0"/>
    </xf>
    <xf numFmtId="0" fontId="54" fillId="0" borderId="53" xfId="0" applyFont="1" applyBorder="1" applyAlignment="1" applyProtection="1">
      <alignment horizontal="center" vertical="center"/>
      <protection locked="0"/>
    </xf>
    <xf numFmtId="0" fontId="54" fillId="0" borderId="54" xfId="0" applyFont="1" applyBorder="1" applyAlignment="1" applyProtection="1">
      <alignment horizontal="center" vertical="center"/>
      <protection locked="0"/>
    </xf>
    <xf numFmtId="0" fontId="54" fillId="0" borderId="62" xfId="0" applyFont="1" applyBorder="1" applyAlignment="1">
      <alignment horizontal="left" vertical="center"/>
    </xf>
    <xf numFmtId="0" fontId="54" fillId="0" borderId="63" xfId="0" applyFont="1" applyBorder="1" applyAlignment="1">
      <alignment horizontal="left" vertical="center"/>
    </xf>
    <xf numFmtId="0" fontId="54" fillId="0" borderId="64" xfId="0" applyFont="1" applyBorder="1" applyAlignment="1">
      <alignment horizontal="left" vertical="center"/>
    </xf>
    <xf numFmtId="0" fontId="54" fillId="0" borderId="63" xfId="0" applyFont="1" applyBorder="1" applyAlignment="1" applyProtection="1">
      <alignment horizontal="center" vertical="center"/>
      <protection locked="0"/>
    </xf>
    <xf numFmtId="0" fontId="54" fillId="0" borderId="64" xfId="0" applyFont="1" applyBorder="1" applyAlignment="1" applyProtection="1">
      <alignment horizontal="center" vertical="center"/>
      <protection locked="0"/>
    </xf>
    <xf numFmtId="2" fontId="53" fillId="24" borderId="61" xfId="0" applyNumberFormat="1" applyFont="1" applyFill="1" applyBorder="1" applyAlignment="1">
      <alignment horizontal="center" vertical="center"/>
    </xf>
    <xf numFmtId="2" fontId="53" fillId="24" borderId="56" xfId="0" applyNumberFormat="1" applyFont="1" applyFill="1" applyBorder="1" applyAlignment="1">
      <alignment horizontal="center" vertical="center"/>
    </xf>
    <xf numFmtId="2" fontId="53" fillId="24" borderId="102" xfId="0" applyNumberFormat="1" applyFont="1" applyFill="1" applyBorder="1" applyAlignment="1">
      <alignment horizontal="center" vertical="center"/>
    </xf>
    <xf numFmtId="2" fontId="53" fillId="24" borderId="103" xfId="0" applyNumberFormat="1" applyFont="1" applyFill="1" applyBorder="1" applyAlignment="1">
      <alignment horizontal="center" vertical="center"/>
    </xf>
    <xf numFmtId="2" fontId="54" fillId="24" borderId="63" xfId="0" applyNumberFormat="1" applyFont="1" applyFill="1" applyBorder="1" applyAlignment="1">
      <alignment horizontal="center" vertical="center"/>
    </xf>
    <xf numFmtId="2" fontId="54" fillId="24" borderId="64" xfId="0" applyNumberFormat="1" applyFont="1" applyFill="1" applyBorder="1" applyAlignment="1">
      <alignment horizontal="center" vertical="center"/>
    </xf>
    <xf numFmtId="2" fontId="54" fillId="24" borderId="40" xfId="0" applyNumberFormat="1" applyFont="1" applyFill="1" applyBorder="1" applyAlignment="1">
      <alignment horizontal="center" vertical="center"/>
    </xf>
    <xf numFmtId="2" fontId="54" fillId="24" borderId="35" xfId="0" applyNumberFormat="1" applyFont="1" applyFill="1" applyBorder="1" applyAlignment="1">
      <alignment horizontal="center" vertical="center"/>
    </xf>
    <xf numFmtId="2" fontId="54" fillId="24" borderId="36" xfId="0" applyNumberFormat="1" applyFont="1" applyFill="1" applyBorder="1" applyAlignment="1">
      <alignment horizontal="center" vertical="center"/>
    </xf>
    <xf numFmtId="0" fontId="54" fillId="24" borderId="35" xfId="0" applyFont="1" applyFill="1" applyBorder="1" applyAlignment="1">
      <alignment horizontal="center" vertical="center"/>
    </xf>
    <xf numFmtId="39" fontId="54" fillId="0" borderId="18" xfId="0" applyNumberFormat="1" applyFont="1" applyBorder="1" applyAlignment="1">
      <alignment horizontal="center" vertical="center"/>
    </xf>
    <xf numFmtId="39" fontId="54" fillId="0" borderId="21" xfId="0" applyNumberFormat="1" applyFont="1" applyBorder="1" applyAlignment="1">
      <alignment horizontal="center" vertical="center"/>
    </xf>
    <xf numFmtId="0" fontId="54" fillId="24" borderId="33" xfId="0" applyFont="1" applyFill="1" applyBorder="1" applyAlignment="1">
      <alignment horizontal="center" vertical="center"/>
    </xf>
    <xf numFmtId="0" fontId="56" fillId="24" borderId="40" xfId="0" applyFont="1" applyFill="1" applyBorder="1" applyAlignment="1">
      <alignment horizontal="left" vertical="center"/>
    </xf>
    <xf numFmtId="0" fontId="56" fillId="24" borderId="35" xfId="0" applyFont="1" applyFill="1" applyBorder="1" applyAlignment="1">
      <alignment horizontal="left" vertical="center"/>
    </xf>
    <xf numFmtId="0" fontId="56" fillId="24" borderId="36" xfId="0" applyFont="1" applyFill="1" applyBorder="1" applyAlignment="1">
      <alignment horizontal="left" vertical="center"/>
    </xf>
    <xf numFmtId="0" fontId="56" fillId="0" borderId="109" xfId="0" applyFont="1" applyBorder="1" applyAlignment="1">
      <alignment horizontal="center"/>
    </xf>
    <xf numFmtId="0" fontId="56" fillId="0" borderId="105" xfId="0" applyFont="1" applyBorder="1" applyAlignment="1">
      <alignment horizontal="center"/>
    </xf>
    <xf numFmtId="0" fontId="56" fillId="0" borderId="110" xfId="0" applyFont="1" applyBorder="1" applyAlignment="1">
      <alignment horizontal="center"/>
    </xf>
    <xf numFmtId="0" fontId="56" fillId="0" borderId="111" xfId="0" applyFont="1" applyBorder="1" applyAlignment="1">
      <alignment horizontal="center"/>
    </xf>
    <xf numFmtId="0" fontId="56" fillId="0" borderId="112" xfId="0" applyFont="1" applyBorder="1" applyAlignment="1">
      <alignment horizontal="center"/>
    </xf>
    <xf numFmtId="0" fontId="62" fillId="0" borderId="110" xfId="0" applyFont="1" applyBorder="1" applyAlignment="1">
      <alignment horizontal="left"/>
    </xf>
    <xf numFmtId="0" fontId="62" fillId="0" borderId="111" xfId="0" applyFont="1" applyBorder="1" applyAlignment="1">
      <alignment horizontal="left"/>
    </xf>
    <xf numFmtId="0" fontId="62" fillId="0" borderId="112" xfId="0" applyFont="1" applyBorder="1" applyAlignment="1">
      <alignment horizontal="left"/>
    </xf>
    <xf numFmtId="0" fontId="62" fillId="0" borderId="110" xfId="0" applyFont="1" applyBorder="1" applyAlignment="1">
      <alignment horizontal="left" wrapText="1"/>
    </xf>
    <xf numFmtId="0" fontId="62" fillId="0" borderId="111" xfId="0" applyFont="1" applyBorder="1" applyAlignment="1">
      <alignment horizontal="left" wrapText="1"/>
    </xf>
    <xf numFmtId="0" fontId="62" fillId="0" borderId="112" xfId="0" applyFont="1" applyBorder="1" applyAlignment="1">
      <alignment horizontal="left" wrapText="1"/>
    </xf>
    <xf numFmtId="0" fontId="54" fillId="24" borderId="0" xfId="0" applyFont="1" applyFill="1" applyAlignment="1">
      <alignment horizontal="center" vertical="center" wrapText="1"/>
    </xf>
    <xf numFmtId="0" fontId="54" fillId="24" borderId="37" xfId="0" applyFont="1" applyFill="1" applyBorder="1" applyAlignment="1">
      <alignment horizontal="center" vertical="center"/>
    </xf>
    <xf numFmtId="0" fontId="54" fillId="24" borderId="91" xfId="0" applyFont="1" applyFill="1" applyBorder="1" applyAlignment="1">
      <alignment horizontal="center" vertical="center"/>
    </xf>
    <xf numFmtId="0" fontId="54" fillId="24" borderId="38" xfId="0" applyFont="1" applyFill="1" applyBorder="1" applyAlignment="1">
      <alignment horizontal="center" vertical="center"/>
    </xf>
    <xf numFmtId="0" fontId="54" fillId="24" borderId="85" xfId="0" applyFont="1" applyFill="1" applyBorder="1" applyAlignment="1">
      <alignment horizontal="center" vertical="center"/>
    </xf>
    <xf numFmtId="0" fontId="54" fillId="24" borderId="86" xfId="0" applyFont="1" applyFill="1" applyBorder="1" applyAlignment="1">
      <alignment horizontal="center" vertical="center"/>
    </xf>
    <xf numFmtId="0" fontId="54" fillId="24" borderId="87" xfId="0" applyFont="1" applyFill="1" applyBorder="1" applyAlignment="1">
      <alignment horizontal="center" vertical="center"/>
    </xf>
    <xf numFmtId="0" fontId="53" fillId="24" borderId="85" xfId="0" applyFont="1" applyFill="1" applyBorder="1" applyAlignment="1">
      <alignment horizontal="center" vertical="center"/>
    </xf>
    <xf numFmtId="0" fontId="53" fillId="24" borderId="86" xfId="0" applyFont="1" applyFill="1" applyBorder="1" applyAlignment="1">
      <alignment horizontal="center" vertical="center"/>
    </xf>
    <xf numFmtId="0" fontId="53" fillId="24" borderId="87" xfId="0" applyFont="1" applyFill="1" applyBorder="1" applyAlignment="1">
      <alignment horizontal="center" vertical="center"/>
    </xf>
    <xf numFmtId="14" fontId="53" fillId="24" borderId="18" xfId="0" applyNumberFormat="1" applyFont="1" applyFill="1" applyBorder="1" applyAlignment="1">
      <alignment horizontal="center" vertical="center"/>
    </xf>
    <xf numFmtId="0" fontId="53" fillId="24" borderId="18" xfId="0" applyFont="1" applyFill="1" applyBorder="1" applyAlignment="1">
      <alignment horizontal="center" vertical="center"/>
    </xf>
    <xf numFmtId="0" fontId="53" fillId="24" borderId="21" xfId="0" applyFont="1" applyFill="1" applyBorder="1" applyAlignment="1">
      <alignment horizontal="center" vertical="center"/>
    </xf>
    <xf numFmtId="0" fontId="54" fillId="0" borderId="92" xfId="0" applyFont="1" applyBorder="1" applyAlignment="1" applyProtection="1">
      <alignment horizontal="center" vertical="center"/>
      <protection locked="0"/>
    </xf>
    <xf numFmtId="0" fontId="54" fillId="0" borderId="93" xfId="0" applyFont="1" applyBorder="1" applyAlignment="1" applyProtection="1">
      <alignment horizontal="center" vertical="center"/>
      <protection locked="0"/>
    </xf>
    <xf numFmtId="0" fontId="54" fillId="0" borderId="94" xfId="0" applyFont="1" applyBorder="1" applyAlignment="1" applyProtection="1">
      <alignment horizontal="center" vertical="center"/>
      <protection locked="0"/>
    </xf>
    <xf numFmtId="0" fontId="54" fillId="0" borderId="95" xfId="0" applyFont="1" applyBorder="1" applyAlignment="1" applyProtection="1">
      <alignment horizontal="center" vertical="center"/>
      <protection locked="0"/>
    </xf>
    <xf numFmtId="39" fontId="53" fillId="0" borderId="97" xfId="0" applyNumberFormat="1" applyFont="1" applyBorder="1" applyAlignment="1">
      <alignment horizontal="center" vertical="center"/>
    </xf>
    <xf numFmtId="39" fontId="53" fillId="0" borderId="94" xfId="0" applyNumberFormat="1" applyFont="1" applyBorder="1" applyAlignment="1">
      <alignment horizontal="center" vertical="center"/>
    </xf>
    <xf numFmtId="39" fontId="53" fillId="0" borderId="95" xfId="0" applyNumberFormat="1" applyFont="1" applyBorder="1" applyAlignment="1">
      <alignment horizontal="center" vertical="center"/>
    </xf>
    <xf numFmtId="39" fontId="53" fillId="0" borderId="97" xfId="0" applyNumberFormat="1" applyFont="1" applyBorder="1" applyAlignment="1" applyProtection="1">
      <alignment horizontal="center" vertical="center"/>
      <protection locked="0"/>
    </xf>
    <xf numFmtId="39" fontId="53" fillId="0" borderId="94" xfId="0" applyNumberFormat="1" applyFont="1" applyBorder="1" applyAlignment="1" applyProtection="1">
      <alignment horizontal="center" vertical="center"/>
      <protection locked="0"/>
    </xf>
    <xf numFmtId="39" fontId="53" fillId="0" borderId="95" xfId="0" applyNumberFormat="1" applyFont="1" applyBorder="1" applyAlignment="1" applyProtection="1">
      <alignment horizontal="center" vertical="center"/>
      <protection locked="0"/>
    </xf>
    <xf numFmtId="4" fontId="54" fillId="0" borderId="99" xfId="0" applyNumberFormat="1" applyFont="1" applyBorder="1" applyAlignment="1">
      <alignment horizontal="center" vertical="center"/>
    </xf>
    <xf numFmtId="4" fontId="54" fillId="0" borderId="100" xfId="0" applyNumberFormat="1" applyFont="1" applyBorder="1" applyAlignment="1">
      <alignment horizontal="center" vertical="center"/>
    </xf>
    <xf numFmtId="4" fontId="54" fillId="0" borderId="101" xfId="0" applyNumberFormat="1" applyFont="1" applyBorder="1" applyAlignment="1">
      <alignment horizontal="center" vertical="center"/>
    </xf>
    <xf numFmtId="0" fontId="53" fillId="0" borderId="0" xfId="0" applyFont="1" applyAlignment="1" applyProtection="1">
      <alignment horizontal="center" vertical="center"/>
      <protection locked="0"/>
    </xf>
    <xf numFmtId="4" fontId="0" fillId="0" borderId="97" xfId="0" applyNumberFormat="1" applyBorder="1" applyAlignment="1" applyProtection="1">
      <alignment horizontal="center" vertical="center"/>
      <protection locked="0"/>
    </xf>
    <xf numFmtId="4" fontId="0" fillId="0" borderId="94" xfId="0" applyNumberFormat="1" applyBorder="1" applyAlignment="1" applyProtection="1">
      <alignment horizontal="center" vertical="center"/>
      <protection locked="0"/>
    </xf>
    <xf numFmtId="4" fontId="0" fillId="0" borderId="95" xfId="0" applyNumberFormat="1" applyBorder="1" applyAlignment="1" applyProtection="1">
      <alignment horizontal="center" vertical="center"/>
      <protection locked="0"/>
    </xf>
    <xf numFmtId="14" fontId="42" fillId="24" borderId="18" xfId="0" applyNumberFormat="1" applyFont="1" applyFill="1" applyBorder="1" applyAlignment="1">
      <alignment horizontal="center" vertical="center"/>
    </xf>
    <xf numFmtId="0" fontId="42" fillId="24" borderId="18" xfId="0" applyFont="1" applyFill="1" applyBorder="1" applyAlignment="1">
      <alignment horizontal="center" vertical="center"/>
    </xf>
    <xf numFmtId="0" fontId="42" fillId="24" borderId="21" xfId="0" applyFont="1" applyFill="1" applyBorder="1" applyAlignment="1">
      <alignment horizontal="center" vertical="center"/>
    </xf>
    <xf numFmtId="0" fontId="19" fillId="0" borderId="92" xfId="0" applyFont="1" applyBorder="1" applyAlignment="1" applyProtection="1">
      <alignment horizontal="center" vertical="center"/>
      <protection locked="0"/>
    </xf>
    <xf numFmtId="0" fontId="19" fillId="0" borderId="93" xfId="0" applyFont="1" applyBorder="1" applyAlignment="1" applyProtection="1">
      <alignment horizontal="center" vertical="center"/>
      <protection locked="0"/>
    </xf>
    <xf numFmtId="0" fontId="19" fillId="0" borderId="94" xfId="0" applyFont="1" applyBorder="1" applyAlignment="1" applyProtection="1">
      <alignment horizontal="center" vertical="center"/>
      <protection locked="0"/>
    </xf>
    <xf numFmtId="0" fontId="19" fillId="0" borderId="95" xfId="0" applyFont="1" applyBorder="1" applyAlignment="1" applyProtection="1">
      <alignment horizontal="center" vertical="center"/>
      <protection locked="0"/>
    </xf>
    <xf numFmtId="39" fontId="0" fillId="0" borderId="97" xfId="0" applyNumberFormat="1" applyBorder="1" applyAlignment="1">
      <alignment horizontal="center" vertical="center"/>
    </xf>
    <xf numFmtId="39" fontId="0" fillId="0" borderId="94" xfId="0" applyNumberFormat="1" applyBorder="1" applyAlignment="1">
      <alignment horizontal="center" vertical="center"/>
    </xf>
    <xf numFmtId="39" fontId="0" fillId="0" borderId="95" xfId="0" applyNumberFormat="1" applyBorder="1" applyAlignment="1">
      <alignment horizontal="center" vertical="center"/>
    </xf>
    <xf numFmtId="39" fontId="0" fillId="0" borderId="97" xfId="0" applyNumberFormat="1" applyBorder="1" applyAlignment="1" applyProtection="1">
      <alignment horizontal="center" vertical="center"/>
      <protection locked="0"/>
    </xf>
    <xf numFmtId="39" fontId="0" fillId="0" borderId="94" xfId="0" applyNumberFormat="1" applyBorder="1" applyAlignment="1" applyProtection="1">
      <alignment horizontal="center" vertical="center"/>
      <protection locked="0"/>
    </xf>
    <xf numFmtId="39" fontId="0" fillId="0" borderId="95" xfId="0" applyNumberFormat="1" applyBorder="1" applyAlignment="1" applyProtection="1">
      <alignment horizontal="center" vertical="center"/>
      <protection locked="0"/>
    </xf>
    <xf numFmtId="0" fontId="19" fillId="24" borderId="0" xfId="0" applyFont="1" applyFill="1" applyAlignment="1">
      <alignment horizontal="center" vertical="center" wrapText="1"/>
    </xf>
    <xf numFmtId="0" fontId="19" fillId="24" borderId="0" xfId="0" applyFont="1" applyFill="1" applyAlignment="1">
      <alignment horizontal="center" vertical="center"/>
    </xf>
    <xf numFmtId="0" fontId="35" fillId="24" borderId="37" xfId="0" applyFont="1" applyFill="1" applyBorder="1" applyAlignment="1">
      <alignment horizontal="center" vertical="center"/>
    </xf>
    <xf numFmtId="0" fontId="35" fillId="24" borderId="91" xfId="0" applyFont="1" applyFill="1" applyBorder="1" applyAlignment="1">
      <alignment horizontal="center" vertical="center"/>
    </xf>
    <xf numFmtId="0" fontId="35" fillId="24" borderId="38" xfId="0" applyFont="1" applyFill="1" applyBorder="1" applyAlignment="1">
      <alignment horizontal="center" vertical="center"/>
    </xf>
    <xf numFmtId="0" fontId="35" fillId="24" borderId="85" xfId="0" applyFont="1" applyFill="1" applyBorder="1" applyAlignment="1">
      <alignment horizontal="center" vertical="center"/>
    </xf>
    <xf numFmtId="0" fontId="35" fillId="24" borderId="86" xfId="0" applyFont="1" applyFill="1" applyBorder="1" applyAlignment="1">
      <alignment horizontal="center" vertical="center"/>
    </xf>
    <xf numFmtId="0" fontId="35" fillId="24" borderId="87" xfId="0" applyFont="1" applyFill="1" applyBorder="1" applyAlignment="1">
      <alignment horizontal="center" vertical="center"/>
    </xf>
    <xf numFmtId="0" fontId="42" fillId="24" borderId="85" xfId="0" applyFont="1" applyFill="1" applyBorder="1" applyAlignment="1">
      <alignment horizontal="center" vertical="center"/>
    </xf>
    <xf numFmtId="0" fontId="42" fillId="24" borderId="86" xfId="0" applyFont="1" applyFill="1" applyBorder="1" applyAlignment="1">
      <alignment horizontal="center" vertical="center"/>
    </xf>
    <xf numFmtId="0" fontId="42" fillId="24" borderId="87" xfId="0" applyFont="1" applyFill="1" applyBorder="1" applyAlignment="1">
      <alignment horizontal="center" vertical="center"/>
    </xf>
    <xf numFmtId="4" fontId="42" fillId="24" borderId="85" xfId="0" applyNumberFormat="1" applyFont="1" applyFill="1" applyBorder="1" applyAlignment="1">
      <alignment horizontal="center" vertical="center"/>
    </xf>
    <xf numFmtId="2" fontId="0" fillId="24" borderId="104" xfId="0" applyNumberFormat="1" applyFill="1" applyBorder="1" applyAlignment="1">
      <alignment horizontal="center" vertical="center"/>
    </xf>
    <xf numFmtId="2" fontId="0" fillId="24" borderId="20" xfId="0" applyNumberFormat="1" applyFill="1" applyBorder="1" applyAlignment="1">
      <alignment horizontal="center" vertical="center"/>
    </xf>
    <xf numFmtId="4" fontId="19" fillId="0" borderId="99" xfId="0" applyNumberFormat="1" applyFont="1" applyBorder="1" applyAlignment="1">
      <alignment horizontal="center" vertical="center"/>
    </xf>
    <xf numFmtId="4" fontId="19" fillId="0" borderId="100" xfId="0" applyNumberFormat="1" applyFont="1" applyBorder="1" applyAlignment="1">
      <alignment horizontal="center" vertical="center"/>
    </xf>
    <xf numFmtId="4" fontId="19" fillId="0" borderId="10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2" fontId="19" fillId="24" borderId="40" xfId="0" applyNumberFormat="1" applyFont="1" applyFill="1" applyBorder="1" applyAlignment="1">
      <alignment horizontal="center" vertical="center"/>
    </xf>
    <xf numFmtId="2" fontId="19" fillId="24" borderId="35" xfId="0" applyNumberFormat="1" applyFont="1" applyFill="1" applyBorder="1" applyAlignment="1">
      <alignment horizontal="center" vertical="center"/>
    </xf>
    <xf numFmtId="2" fontId="19" fillId="24" borderId="36" xfId="0" applyNumberFormat="1" applyFont="1" applyFill="1" applyBorder="1" applyAlignment="1">
      <alignment horizontal="center" vertical="center"/>
    </xf>
    <xf numFmtId="0" fontId="19" fillId="24" borderId="35" xfId="0" applyFont="1" applyFill="1" applyBorder="1" applyAlignment="1">
      <alignment horizontal="center" vertical="center"/>
    </xf>
    <xf numFmtId="0" fontId="19" fillId="0" borderId="52" xfId="0" applyFont="1" applyBorder="1" applyAlignment="1" applyProtection="1">
      <alignment horizontal="center" vertical="center"/>
      <protection locked="0"/>
    </xf>
    <xf numFmtId="0" fontId="19" fillId="0" borderId="53" xfId="0" applyFont="1" applyBorder="1" applyAlignment="1" applyProtection="1">
      <alignment horizontal="center" vertical="center"/>
      <protection locked="0"/>
    </xf>
    <xf numFmtId="0" fontId="19" fillId="0" borderId="54" xfId="0" applyFont="1" applyBorder="1" applyAlignment="1" applyProtection="1">
      <alignment horizontal="center" vertical="center"/>
      <protection locked="0"/>
    </xf>
    <xf numFmtId="0" fontId="19" fillId="0" borderId="62" xfId="0" applyFont="1" applyBorder="1" applyAlignment="1">
      <alignment horizontal="left" vertical="center"/>
    </xf>
    <xf numFmtId="0" fontId="19" fillId="0" borderId="63" xfId="0" applyFont="1" applyBorder="1" applyAlignment="1">
      <alignment horizontal="left" vertical="center"/>
    </xf>
    <xf numFmtId="0" fontId="19" fillId="0" borderId="64" xfId="0" applyFont="1" applyBorder="1" applyAlignment="1">
      <alignment horizontal="left" vertical="center"/>
    </xf>
    <xf numFmtId="2" fontId="0" fillId="24" borderId="61" xfId="0" applyNumberFormat="1" applyFill="1" applyBorder="1" applyAlignment="1">
      <alignment horizontal="center" vertical="center"/>
    </xf>
    <xf numFmtId="2" fontId="0" fillId="24" borderId="56" xfId="0" applyNumberFormat="1" applyFill="1" applyBorder="1" applyAlignment="1">
      <alignment horizontal="center" vertical="center"/>
    </xf>
    <xf numFmtId="2" fontId="0" fillId="24" borderId="32" xfId="0" applyNumberFormat="1" applyFill="1" applyBorder="1" applyAlignment="1">
      <alignment horizontal="center" vertical="center"/>
    </xf>
    <xf numFmtId="2" fontId="0" fillId="24" borderId="39" xfId="0" applyNumberFormat="1" applyFill="1" applyBorder="1" applyAlignment="1">
      <alignment horizontal="center" vertical="center"/>
    </xf>
    <xf numFmtId="2" fontId="0" fillId="24" borderId="33" xfId="0" applyNumberFormat="1" applyFill="1" applyBorder="1" applyAlignment="1">
      <alignment horizontal="center" vertical="center"/>
    </xf>
    <xf numFmtId="2" fontId="19" fillId="24" borderId="34" xfId="0" applyNumberFormat="1" applyFont="1" applyFill="1" applyBorder="1" applyAlignment="1">
      <alignment horizontal="center" vertical="center"/>
    </xf>
    <xf numFmtId="0" fontId="19" fillId="0" borderId="52" xfId="0" applyFont="1" applyBorder="1" applyAlignment="1" applyProtection="1">
      <alignment horizontal="left" vertical="center"/>
      <protection locked="0"/>
    </xf>
    <xf numFmtId="0" fontId="19" fillId="0" borderId="53" xfId="0" applyFont="1" applyBorder="1" applyAlignment="1" applyProtection="1">
      <alignment horizontal="left" vertical="center"/>
      <protection locked="0"/>
    </xf>
    <xf numFmtId="0" fontId="19" fillId="0" borderId="54" xfId="0" applyFont="1" applyBorder="1" applyAlignment="1" applyProtection="1">
      <alignment horizontal="left" vertical="center"/>
      <protection locked="0"/>
    </xf>
    <xf numFmtId="0" fontId="19" fillId="0" borderId="27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2" fontId="0" fillId="24" borderId="14" xfId="0" applyNumberFormat="1" applyFill="1" applyBorder="1" applyAlignment="1">
      <alignment horizontal="center" vertical="center"/>
    </xf>
    <xf numFmtId="2" fontId="0" fillId="24" borderId="19" xfId="0" applyNumberFormat="1" applyFill="1" applyBorder="1" applyAlignment="1">
      <alignment horizontal="center" vertical="center"/>
    </xf>
    <xf numFmtId="2" fontId="19" fillId="24" borderId="32" xfId="0" applyNumberFormat="1" applyFont="1" applyFill="1" applyBorder="1" applyAlignment="1">
      <alignment horizontal="center" vertical="center"/>
    </xf>
    <xf numFmtId="0" fontId="19" fillId="24" borderId="33" xfId="0" applyFont="1" applyFill="1" applyBorder="1" applyAlignment="1">
      <alignment horizontal="center" vertical="center"/>
    </xf>
    <xf numFmtId="0" fontId="33" fillId="24" borderId="40" xfId="0" applyFont="1" applyFill="1" applyBorder="1" applyAlignment="1">
      <alignment horizontal="left" vertical="center"/>
    </xf>
    <xf numFmtId="0" fontId="33" fillId="24" borderId="35" xfId="0" applyFont="1" applyFill="1" applyBorder="1" applyAlignment="1">
      <alignment horizontal="left" vertical="center"/>
    </xf>
    <xf numFmtId="0" fontId="33" fillId="24" borderId="36" xfId="0" applyFont="1" applyFill="1" applyBorder="1" applyAlignment="1">
      <alignment horizontal="left" vertical="center"/>
    </xf>
    <xf numFmtId="39" fontId="0" fillId="0" borderId="85" xfId="0" applyNumberFormat="1" applyBorder="1" applyAlignment="1">
      <alignment horizontal="center" vertical="center"/>
    </xf>
    <xf numFmtId="39" fontId="0" fillId="0" borderId="86" xfId="0" applyNumberFormat="1" applyBorder="1" applyAlignment="1">
      <alignment horizontal="center" vertical="center"/>
    </xf>
    <xf numFmtId="39" fontId="0" fillId="0" borderId="87" xfId="0" applyNumberFormat="1" applyBorder="1" applyAlignment="1">
      <alignment horizontal="center" vertical="center"/>
    </xf>
    <xf numFmtId="39" fontId="0" fillId="0" borderId="32" xfId="0" applyNumberFormat="1" applyBorder="1" applyAlignment="1">
      <alignment horizontal="center" vertical="center"/>
    </xf>
    <xf numFmtId="39" fontId="0" fillId="0" borderId="39" xfId="0" applyNumberFormat="1" applyBorder="1" applyAlignment="1">
      <alignment horizontal="center" vertical="center"/>
    </xf>
    <xf numFmtId="39" fontId="0" fillId="0" borderId="33" xfId="0" applyNumberFormat="1" applyBorder="1" applyAlignment="1">
      <alignment horizontal="center" vertical="center"/>
    </xf>
    <xf numFmtId="0" fontId="19" fillId="0" borderId="0" xfId="0" applyFont="1" applyAlignment="1" applyProtection="1">
      <alignment horizontal="center" vertical="center"/>
      <protection locked="0"/>
    </xf>
    <xf numFmtId="0" fontId="19" fillId="0" borderId="45" xfId="0" applyFont="1" applyBorder="1" applyAlignment="1" applyProtection="1">
      <alignment horizontal="center" vertical="center"/>
      <protection locked="0"/>
    </xf>
    <xf numFmtId="39" fontId="19" fillId="0" borderId="40" xfId="0" applyNumberFormat="1" applyFont="1" applyBorder="1" applyAlignment="1">
      <alignment horizontal="center" vertical="center"/>
    </xf>
    <xf numFmtId="39" fontId="19" fillId="0" borderId="35" xfId="0" applyNumberFormat="1" applyFont="1" applyBorder="1" applyAlignment="1">
      <alignment horizontal="center" vertical="center"/>
    </xf>
    <xf numFmtId="39" fontId="19" fillId="0" borderId="36" xfId="0" applyNumberFormat="1" applyFont="1" applyBorder="1" applyAlignment="1">
      <alignment horizontal="center" vertical="center"/>
    </xf>
    <xf numFmtId="0" fontId="19" fillId="0" borderId="77" xfId="0" applyFont="1" applyBorder="1" applyAlignment="1" applyProtection="1">
      <alignment horizontal="center" vertical="center"/>
      <protection locked="0"/>
    </xf>
    <xf numFmtId="0" fontId="19" fillId="0" borderId="71" xfId="0" applyFont="1" applyBorder="1" applyAlignment="1" applyProtection="1">
      <alignment horizontal="center" vertical="center"/>
      <protection locked="0"/>
    </xf>
    <xf numFmtId="0" fontId="19" fillId="0" borderId="72" xfId="0" applyFont="1" applyBorder="1" applyAlignment="1" applyProtection="1">
      <alignment horizontal="center" vertical="center"/>
      <protection locked="0"/>
    </xf>
    <xf numFmtId="0" fontId="19" fillId="0" borderId="34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2" fontId="0" fillId="24" borderId="37" xfId="0" applyNumberFormat="1" applyFill="1" applyBorder="1" applyAlignment="1">
      <alignment horizontal="center" vertical="center"/>
    </xf>
    <xf numFmtId="2" fontId="0" fillId="24" borderId="107" xfId="0" applyNumberFormat="1" applyFill="1" applyBorder="1" applyAlignment="1">
      <alignment horizontal="center" vertical="center"/>
    </xf>
    <xf numFmtId="2" fontId="0" fillId="24" borderId="38" xfId="0" applyNumberFormat="1" applyFill="1" applyBorder="1" applyAlignment="1">
      <alignment horizontal="center" vertical="center"/>
    </xf>
    <xf numFmtId="39" fontId="19" fillId="0" borderId="18" xfId="0" applyNumberFormat="1" applyFont="1" applyBorder="1" applyAlignment="1">
      <alignment horizontal="center" vertical="center"/>
    </xf>
    <xf numFmtId="39" fontId="19" fillId="0" borderId="21" xfId="0" applyNumberFormat="1" applyFont="1" applyBorder="1" applyAlignment="1">
      <alignment horizontal="center" vertical="center"/>
    </xf>
    <xf numFmtId="0" fontId="19" fillId="0" borderId="40" xfId="0" applyFont="1" applyBorder="1" applyAlignment="1" applyProtection="1">
      <alignment horizontal="center" vertical="center"/>
      <protection locked="0"/>
    </xf>
    <xf numFmtId="0" fontId="19" fillId="0" borderId="35" xfId="0" applyFont="1" applyBorder="1" applyAlignment="1" applyProtection="1">
      <alignment horizontal="center" vertical="center"/>
      <protection locked="0"/>
    </xf>
    <xf numFmtId="0" fontId="19" fillId="0" borderId="36" xfId="0" applyFont="1" applyBorder="1" applyAlignment="1" applyProtection="1">
      <alignment horizontal="center" vertical="center"/>
      <protection locked="0"/>
    </xf>
    <xf numFmtId="39" fontId="19" fillId="0" borderId="67" xfId="0" applyNumberFormat="1" applyFont="1" applyBorder="1" applyAlignment="1">
      <alignment horizontal="center" vertical="center"/>
    </xf>
    <xf numFmtId="39" fontId="19" fillId="0" borderId="68" xfId="0" applyNumberFormat="1" applyFont="1" applyBorder="1" applyAlignment="1">
      <alignment horizontal="center" vertical="center"/>
    </xf>
    <xf numFmtId="39" fontId="0" fillId="0" borderId="65" xfId="0" applyNumberFormat="1" applyBorder="1" applyAlignment="1">
      <alignment horizontal="center" vertical="center"/>
    </xf>
    <xf numFmtId="39" fontId="0" fillId="0" borderId="105" xfId="0" applyNumberFormat="1" applyBorder="1" applyAlignment="1">
      <alignment horizontal="center" vertical="center"/>
    </xf>
    <xf numFmtId="39" fontId="0" fillId="0" borderId="66" xfId="0" applyNumberFormat="1" applyBorder="1" applyAlignment="1">
      <alignment horizontal="center" vertical="center"/>
    </xf>
    <xf numFmtId="0" fontId="19" fillId="0" borderId="70" xfId="0" applyFont="1" applyBorder="1" applyAlignment="1" applyProtection="1">
      <alignment horizontal="center" vertical="center"/>
      <protection locked="0"/>
    </xf>
    <xf numFmtId="0" fontId="19" fillId="0" borderId="35" xfId="0" applyFont="1" applyBorder="1" applyAlignment="1" applyProtection="1">
      <alignment horizontal="left" vertical="center"/>
      <protection locked="0"/>
    </xf>
    <xf numFmtId="0" fontId="19" fillId="0" borderId="36" xfId="0" applyFont="1" applyBorder="1" applyAlignment="1" applyProtection="1">
      <alignment horizontal="left" vertical="center"/>
      <protection locked="0"/>
    </xf>
    <xf numFmtId="0" fontId="19" fillId="0" borderId="25" xfId="0" applyFont="1" applyBorder="1" applyAlignment="1">
      <alignment horizontal="center" vertical="center" wrapText="1"/>
    </xf>
    <xf numFmtId="2" fontId="19" fillId="24" borderId="39" xfId="0" applyNumberFormat="1" applyFont="1" applyFill="1" applyBorder="1" applyAlignment="1">
      <alignment horizontal="center" vertical="center"/>
    </xf>
    <xf numFmtId="2" fontId="19" fillId="24" borderId="33" xfId="0" applyNumberFormat="1" applyFont="1" applyFill="1" applyBorder="1" applyAlignment="1">
      <alignment horizontal="center" vertical="center"/>
    </xf>
    <xf numFmtId="0" fontId="19" fillId="0" borderId="73" xfId="0" applyFont="1" applyBorder="1" applyAlignment="1" applyProtection="1">
      <alignment horizontal="left" vertical="center"/>
      <protection locked="0"/>
    </xf>
    <xf numFmtId="0" fontId="19" fillId="0" borderId="63" xfId="0" applyFont="1" applyBorder="1" applyAlignment="1" applyProtection="1">
      <alignment horizontal="left" vertical="center"/>
      <protection locked="0"/>
    </xf>
    <xf numFmtId="0" fontId="19" fillId="0" borderId="64" xfId="0" applyFont="1" applyBorder="1" applyAlignment="1" applyProtection="1">
      <alignment horizontal="left" vertical="center"/>
      <protection locked="0"/>
    </xf>
    <xf numFmtId="0" fontId="19" fillId="0" borderId="61" xfId="0" applyFont="1" applyBorder="1" applyAlignment="1">
      <alignment horizontal="center" vertical="center" wrapText="1"/>
    </xf>
    <xf numFmtId="0" fontId="19" fillId="0" borderId="56" xfId="0" applyFont="1" applyBorder="1" applyAlignment="1">
      <alignment horizontal="center" vertical="center" wrapText="1"/>
    </xf>
    <xf numFmtId="0" fontId="0" fillId="24" borderId="32" xfId="0" applyFill="1" applyBorder="1" applyAlignment="1">
      <alignment horizontal="center" vertical="center"/>
    </xf>
    <xf numFmtId="0" fontId="0" fillId="24" borderId="39" xfId="0" applyFill="1" applyBorder="1" applyAlignment="1">
      <alignment horizontal="center" vertical="center"/>
    </xf>
    <xf numFmtId="0" fontId="0" fillId="24" borderId="33" xfId="0" applyFill="1" applyBorder="1" applyAlignment="1">
      <alignment horizontal="center" vertical="center"/>
    </xf>
    <xf numFmtId="2" fontId="19" fillId="29" borderId="63" xfId="0" applyNumberFormat="1" applyFont="1" applyFill="1" applyBorder="1" applyAlignment="1">
      <alignment horizontal="center" vertical="center"/>
    </xf>
    <xf numFmtId="2" fontId="19" fillId="29" borderId="64" xfId="0" applyNumberFormat="1" applyFont="1" applyFill="1" applyBorder="1" applyAlignment="1">
      <alignment horizontal="center" vertical="center"/>
    </xf>
    <xf numFmtId="39" fontId="0" fillId="0" borderId="104" xfId="0" applyNumberFormat="1" applyBorder="1" applyAlignment="1" applyProtection="1">
      <alignment horizontal="center" vertical="center"/>
      <protection locked="0"/>
    </xf>
    <xf numFmtId="39" fontId="0" fillId="0" borderId="20" xfId="0" applyNumberFormat="1" applyBorder="1" applyAlignment="1" applyProtection="1">
      <alignment horizontal="center" vertical="center"/>
      <protection locked="0"/>
    </xf>
    <xf numFmtId="39" fontId="19" fillId="0" borderId="18" xfId="0" applyNumberFormat="1" applyFont="1" applyBorder="1" applyAlignment="1" applyProtection="1">
      <alignment horizontal="center" vertical="center"/>
      <protection locked="0"/>
    </xf>
    <xf numFmtId="39" fontId="19" fillId="0" borderId="21" xfId="0" applyNumberFormat="1" applyFont="1" applyBorder="1" applyAlignment="1" applyProtection="1">
      <alignment horizontal="center" vertical="center"/>
      <protection locked="0"/>
    </xf>
    <xf numFmtId="0" fontId="19" fillId="0" borderId="75" xfId="0" applyFont="1" applyBorder="1" applyAlignment="1" applyProtection="1">
      <alignment horizontal="center" vertical="center"/>
      <protection locked="0"/>
    </xf>
    <xf numFmtId="0" fontId="19" fillId="0" borderId="74" xfId="0" applyFont="1" applyBorder="1" applyAlignment="1" applyProtection="1">
      <alignment horizontal="center"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0" fontId="19" fillId="0" borderId="29" xfId="0" applyFont="1" applyBorder="1" applyAlignment="1" applyProtection="1">
      <alignment horizontal="center" vertical="center"/>
      <protection locked="0"/>
    </xf>
    <xf numFmtId="0" fontId="19" fillId="0" borderId="30" xfId="0" applyFont="1" applyBorder="1" applyAlignment="1" applyProtection="1">
      <alignment horizontal="center" vertical="center"/>
      <protection locked="0"/>
    </xf>
    <xf numFmtId="39" fontId="0" fillId="0" borderId="24" xfId="0" applyNumberFormat="1" applyBorder="1" applyAlignment="1" applyProtection="1">
      <alignment horizontal="center" vertical="center"/>
      <protection locked="0"/>
    </xf>
    <xf numFmtId="39" fontId="0" fillId="0" borderId="25" xfId="0" applyNumberFormat="1" applyBorder="1" applyAlignment="1" applyProtection="1">
      <alignment horizontal="center" vertical="center"/>
      <protection locked="0"/>
    </xf>
    <xf numFmtId="39" fontId="0" fillId="0" borderId="26" xfId="0" applyNumberFormat="1" applyBorder="1" applyAlignment="1" applyProtection="1">
      <alignment horizontal="center" vertical="center"/>
      <protection locked="0"/>
    </xf>
    <xf numFmtId="4" fontId="0" fillId="24" borderId="14" xfId="0" applyNumberFormat="1" applyFill="1" applyBorder="1" applyAlignment="1">
      <alignment horizontal="center" vertical="center"/>
    </xf>
    <xf numFmtId="4" fontId="0" fillId="24" borderId="19" xfId="0" applyNumberFormat="1" applyFill="1" applyBorder="1" applyAlignment="1">
      <alignment horizontal="center" vertical="center"/>
    </xf>
    <xf numFmtId="4" fontId="0" fillId="24" borderId="104" xfId="0" applyNumberFormat="1" applyFill="1" applyBorder="1" applyAlignment="1">
      <alignment horizontal="center" vertical="center"/>
    </xf>
    <xf numFmtId="4" fontId="0" fillId="24" borderId="20" xfId="0" applyNumberFormat="1" applyFill="1" applyBorder="1" applyAlignment="1">
      <alignment horizontal="center" vertical="center"/>
    </xf>
    <xf numFmtId="0" fontId="64" fillId="0" borderId="109" xfId="0" applyFont="1" applyBorder="1" applyAlignment="1">
      <alignment horizontal="center"/>
    </xf>
    <xf numFmtId="0" fontId="64" fillId="0" borderId="105" xfId="0" applyFont="1" applyBorder="1" applyAlignment="1">
      <alignment horizontal="center"/>
    </xf>
    <xf numFmtId="0" fontId="64" fillId="0" borderId="110" xfId="0" applyFont="1" applyBorder="1" applyAlignment="1">
      <alignment horizontal="center"/>
    </xf>
    <xf numFmtId="0" fontId="64" fillId="0" borderId="111" xfId="0" applyFont="1" applyBorder="1" applyAlignment="1">
      <alignment horizontal="center"/>
    </xf>
    <xf numFmtId="0" fontId="64" fillId="0" borderId="112" xfId="0" applyFont="1" applyBorder="1" applyAlignment="1">
      <alignment horizontal="center"/>
    </xf>
    <xf numFmtId="4" fontId="0" fillId="24" borderId="85" xfId="0" applyNumberFormat="1" applyFill="1" applyBorder="1" applyAlignment="1">
      <alignment horizontal="center" vertical="center"/>
    </xf>
    <xf numFmtId="4" fontId="0" fillId="24" borderId="86" xfId="0" applyNumberFormat="1" applyFill="1" applyBorder="1" applyAlignment="1">
      <alignment horizontal="center" vertical="center"/>
    </xf>
    <xf numFmtId="4" fontId="0" fillId="24" borderId="87" xfId="0" applyNumberFormat="1" applyFill="1" applyBorder="1" applyAlignment="1">
      <alignment horizontal="center" vertical="center"/>
    </xf>
    <xf numFmtId="4" fontId="19" fillId="24" borderId="85" xfId="0" applyNumberFormat="1" applyFont="1" applyFill="1" applyBorder="1" applyAlignment="1">
      <alignment horizontal="center" vertical="center"/>
    </xf>
    <xf numFmtId="4" fontId="19" fillId="24" borderId="86" xfId="0" applyNumberFormat="1" applyFont="1" applyFill="1" applyBorder="1" applyAlignment="1">
      <alignment horizontal="center" vertical="center"/>
    </xf>
    <xf numFmtId="4" fontId="19" fillId="24" borderId="87" xfId="0" applyNumberFormat="1" applyFont="1" applyFill="1" applyBorder="1" applyAlignment="1">
      <alignment horizontal="center" vertical="center"/>
    </xf>
    <xf numFmtId="4" fontId="19" fillId="24" borderId="32" xfId="0" applyNumberFormat="1" applyFont="1" applyFill="1" applyBorder="1" applyAlignment="1">
      <alignment horizontal="center" vertical="center"/>
    </xf>
    <xf numFmtId="4" fontId="19" fillId="24" borderId="39" xfId="0" applyNumberFormat="1" applyFont="1" applyFill="1" applyBorder="1" applyAlignment="1">
      <alignment horizontal="center" vertical="center"/>
    </xf>
    <xf numFmtId="4" fontId="19" fillId="24" borderId="33" xfId="0" applyNumberFormat="1" applyFont="1" applyFill="1" applyBorder="1" applyAlignment="1">
      <alignment horizontal="center" vertical="center"/>
    </xf>
  </cellXfs>
  <cellStyles count="63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Hiperlink" xfId="60" builtinId="8"/>
    <cellStyle name="Moeda" xfId="59" builtinId="4"/>
    <cellStyle name="Moeda 2" xfId="45" xr:uid="{00000000-0005-0000-0000-000020000000}"/>
    <cellStyle name="Moeda 2 2" xfId="46" xr:uid="{00000000-0005-0000-0000-000021000000}"/>
    <cellStyle name="Moeda 3" xfId="47" xr:uid="{00000000-0005-0000-0000-000022000000}"/>
    <cellStyle name="Moeda 4" xfId="48" xr:uid="{00000000-0005-0000-0000-000023000000}"/>
    <cellStyle name="Moeda 5" xfId="61" xr:uid="{00000000-0005-0000-0000-000024000000}"/>
    <cellStyle name="Neutro" xfId="31" builtinId="28" customBuiltin="1"/>
    <cellStyle name="Normal" xfId="0" builtinId="0"/>
    <cellStyle name="Normal 2" xfId="44" xr:uid="{00000000-0005-0000-0000-000027000000}"/>
    <cellStyle name="Normal 3" xfId="49" xr:uid="{00000000-0005-0000-0000-000028000000}"/>
    <cellStyle name="Nota" xfId="32" builtinId="10" customBuiltin="1"/>
    <cellStyle name="Porcentagem" xfId="33" builtinId="5"/>
    <cellStyle name="Porcentagem 2" xfId="50" xr:uid="{00000000-0005-0000-0000-00002B000000}"/>
    <cellStyle name="Porcentagem 2 2" xfId="51" xr:uid="{00000000-0005-0000-0000-00002C000000}"/>
    <cellStyle name="Porcentagem 3" xfId="52" xr:uid="{00000000-0005-0000-0000-00002D000000}"/>
    <cellStyle name="Porcentagem 3 2" xfId="53" xr:uid="{00000000-0005-0000-0000-00002E000000}"/>
    <cellStyle name="Ruim" xfId="30" builtinId="27" customBuiltin="1"/>
    <cellStyle name="Saída" xfId="34" builtinId="21" customBuiltin="1"/>
    <cellStyle name="Separador de milhares 2" xfId="54" xr:uid="{00000000-0005-0000-0000-000030000000}"/>
    <cellStyle name="Separador de milhares 2 2" xfId="55" xr:uid="{00000000-0005-0000-0000-000031000000}"/>
    <cellStyle name="Separador de milhares 3" xfId="56" xr:uid="{00000000-0005-0000-0000-000032000000}"/>
    <cellStyle name="Separador de milhares 3 2" xfId="57" xr:uid="{00000000-0005-0000-0000-000033000000}"/>
    <cellStyle name="TableStyleLight1" xfId="58" xr:uid="{00000000-0005-0000-0000-000034000000}"/>
    <cellStyle name="Texto de Aviso" xfId="35" builtinId="11" customBuiltin="1"/>
    <cellStyle name="Texto Explicativo" xfId="36" builtinId="53" customBuiltin="1"/>
    <cellStyle name="Título 1" xfId="37" builtinId="16" customBuiltin="1"/>
    <cellStyle name="Título 1 1" xfId="38" xr:uid="{00000000-0005-0000-0000-000038000000}"/>
    <cellStyle name="Título 1 1 1" xfId="39" xr:uid="{00000000-0005-0000-0000-000039000000}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62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6">
    <pageSetUpPr fitToPage="1"/>
  </sheetPr>
  <dimension ref="B1:J14"/>
  <sheetViews>
    <sheetView tabSelected="1" view="pageBreakPreview" zoomScale="85" zoomScaleNormal="85" zoomScaleSheetLayoutView="85" workbookViewId="0">
      <selection activeCell="B13" sqref="B13:J13"/>
    </sheetView>
  </sheetViews>
  <sheetFormatPr defaultColWidth="11.42578125" defaultRowHeight="12.75" x14ac:dyDescent="0.2"/>
  <cols>
    <col min="1" max="1" width="3.42578125" style="5" customWidth="1"/>
    <col min="2" max="2" width="6.28515625" style="5" customWidth="1"/>
    <col min="3" max="3" width="15.5703125" style="5" customWidth="1"/>
    <col min="4" max="5" width="15.7109375" style="5" customWidth="1"/>
    <col min="6" max="6" width="20.5703125" style="6" customWidth="1"/>
    <col min="7" max="16384" width="11.42578125" style="5"/>
  </cols>
  <sheetData>
    <row r="1" spans="2:10" ht="14.25" customHeight="1" thickBot="1" x14ac:dyDescent="0.25">
      <c r="B1" s="425"/>
      <c r="C1" s="425"/>
      <c r="D1" s="425"/>
      <c r="E1" s="425"/>
      <c r="F1" s="425"/>
      <c r="G1" s="425"/>
      <c r="H1" s="425"/>
      <c r="I1" s="425"/>
      <c r="J1" s="425"/>
    </row>
    <row r="2" spans="2:10" ht="17.25" customHeight="1" thickBot="1" x14ac:dyDescent="0.25">
      <c r="B2" s="426" t="s">
        <v>244</v>
      </c>
      <c r="C2" s="427"/>
      <c r="D2" s="427"/>
      <c r="E2" s="427"/>
      <c r="F2" s="427"/>
      <c r="G2" s="427"/>
      <c r="H2" s="427"/>
      <c r="I2" s="427"/>
      <c r="J2" s="428"/>
    </row>
    <row r="3" spans="2:10" ht="17.25" customHeight="1" thickBot="1" x14ac:dyDescent="0.25">
      <c r="B3" s="413"/>
      <c r="C3" s="413"/>
      <c r="D3" s="413"/>
      <c r="E3" s="413"/>
      <c r="F3" s="413"/>
      <c r="G3" s="413"/>
      <c r="H3" s="413"/>
      <c r="I3" s="413"/>
      <c r="J3" s="413"/>
    </row>
    <row r="4" spans="2:10" ht="17.25" customHeight="1" thickBot="1" x14ac:dyDescent="0.25">
      <c r="B4" s="78"/>
      <c r="C4" s="79" t="s">
        <v>0</v>
      </c>
      <c r="D4" s="431"/>
      <c r="E4" s="432"/>
      <c r="F4" s="80"/>
      <c r="G4" s="80"/>
      <c r="H4" s="80"/>
      <c r="I4" s="80"/>
      <c r="J4" s="80"/>
    </row>
    <row r="5" spans="2:10" ht="17.25" customHeight="1" thickBot="1" x14ac:dyDescent="0.25">
      <c r="B5" s="78"/>
      <c r="C5" s="79" t="s">
        <v>1</v>
      </c>
      <c r="D5" s="429" t="s">
        <v>243</v>
      </c>
      <c r="E5" s="430"/>
      <c r="F5" s="80"/>
      <c r="G5" s="80"/>
      <c r="H5" s="80"/>
      <c r="I5" s="80"/>
      <c r="J5" s="80"/>
    </row>
    <row r="6" spans="2:10" ht="15.95" customHeight="1" x14ac:dyDescent="0.2">
      <c r="B6" s="424"/>
      <c r="C6" s="424"/>
      <c r="D6" s="424"/>
      <c r="E6" s="424"/>
      <c r="F6" s="424"/>
      <c r="G6" s="424"/>
      <c r="H6" s="424"/>
      <c r="I6" s="424"/>
      <c r="J6" s="424"/>
    </row>
    <row r="7" spans="2:10" ht="20.100000000000001" customHeight="1" x14ac:dyDescent="0.2">
      <c r="B7" s="423" t="s">
        <v>178</v>
      </c>
      <c r="C7" s="423"/>
      <c r="D7" s="423"/>
      <c r="E7" s="423"/>
      <c r="F7" s="423"/>
      <c r="G7" s="423"/>
      <c r="H7" s="423"/>
      <c r="I7" s="423"/>
      <c r="J7" s="423"/>
    </row>
    <row r="8" spans="2:10" ht="20.100000000000001" customHeight="1" x14ac:dyDescent="0.2">
      <c r="B8" s="424"/>
      <c r="C8" s="424"/>
      <c r="D8" s="424"/>
      <c r="E8" s="424"/>
      <c r="F8" s="424"/>
      <c r="G8" s="424"/>
      <c r="H8" s="424"/>
      <c r="I8" s="424"/>
      <c r="J8" s="424"/>
    </row>
    <row r="9" spans="2:10" ht="20.100000000000001" customHeight="1" x14ac:dyDescent="0.2">
      <c r="B9" s="81" t="s">
        <v>2</v>
      </c>
      <c r="C9" s="414" t="s">
        <v>3</v>
      </c>
      <c r="D9" s="414"/>
      <c r="E9" s="414"/>
      <c r="F9" s="414"/>
      <c r="G9" s="414"/>
      <c r="H9" s="415"/>
      <c r="I9" s="416"/>
      <c r="J9" s="416"/>
    </row>
    <row r="10" spans="2:10" ht="20.100000000000001" customHeight="1" x14ac:dyDescent="0.2">
      <c r="B10" s="81" t="s">
        <v>4</v>
      </c>
      <c r="C10" s="414" t="s">
        <v>5</v>
      </c>
      <c r="D10" s="414"/>
      <c r="E10" s="414"/>
      <c r="F10" s="414"/>
      <c r="G10" s="414"/>
      <c r="H10" s="417" t="s">
        <v>245</v>
      </c>
      <c r="I10" s="418"/>
      <c r="J10" s="419"/>
    </row>
    <row r="11" spans="2:10" ht="20.100000000000001" customHeight="1" x14ac:dyDescent="0.2">
      <c r="B11" s="82" t="s">
        <v>6</v>
      </c>
      <c r="C11" s="420" t="s">
        <v>7</v>
      </c>
      <c r="D11" s="421"/>
      <c r="E11" s="421"/>
      <c r="F11" s="421"/>
      <c r="G11" s="421"/>
      <c r="H11" s="422" t="s">
        <v>246</v>
      </c>
      <c r="I11" s="422"/>
      <c r="J11" s="422"/>
    </row>
    <row r="12" spans="2:10" ht="20.100000000000001" customHeight="1" x14ac:dyDescent="0.2">
      <c r="B12" s="81" t="s">
        <v>8</v>
      </c>
      <c r="C12" s="83" t="s">
        <v>9</v>
      </c>
      <c r="D12" s="84"/>
      <c r="E12" s="84"/>
      <c r="F12" s="84"/>
      <c r="G12" s="84"/>
      <c r="H12" s="412">
        <v>12</v>
      </c>
      <c r="I12" s="412"/>
      <c r="J12" s="412"/>
    </row>
    <row r="13" spans="2:10" ht="20.100000000000001" customHeight="1" x14ac:dyDescent="0.2">
      <c r="B13" s="413"/>
      <c r="C13" s="413"/>
      <c r="D13" s="413"/>
      <c r="E13" s="413"/>
      <c r="F13" s="413"/>
      <c r="G13" s="413"/>
      <c r="H13" s="413"/>
      <c r="I13" s="413"/>
      <c r="J13" s="413"/>
    </row>
    <row r="14" spans="2:10" ht="20.100000000000001" customHeight="1" x14ac:dyDescent="0.2"/>
  </sheetData>
  <mergeCells count="16">
    <mergeCell ref="B7:J7"/>
    <mergeCell ref="B8:J8"/>
    <mergeCell ref="B1:J1"/>
    <mergeCell ref="B2:J2"/>
    <mergeCell ref="B3:J3"/>
    <mergeCell ref="D5:E5"/>
    <mergeCell ref="B6:J6"/>
    <mergeCell ref="D4:E4"/>
    <mergeCell ref="H12:J12"/>
    <mergeCell ref="B13:J13"/>
    <mergeCell ref="C9:G9"/>
    <mergeCell ref="H9:J9"/>
    <mergeCell ref="C10:G10"/>
    <mergeCell ref="H10:J10"/>
    <mergeCell ref="C11:G11"/>
    <mergeCell ref="H11:J11"/>
  </mergeCells>
  <pageMargins left="0.78749999999999998" right="0.78749999999999998" top="1.0527777777777778" bottom="1.0527777777777778" header="0.78749999999999998" footer="0.78749999999999998"/>
  <pageSetup paperSize="9" scale="70" firstPageNumber="0" fitToHeight="0" orientation="portrait" r:id="rId1"/>
  <headerFooter alignWithMargins="0">
    <oddHeader>&amp;C&amp;"Times New Roman,Normal"&amp;12&amp;A</oddHeader>
    <oddFooter>&amp;C&amp;"Times New Roman,Normal"&amp;12Página &amp;P</oddFooter>
  </headerFooter>
  <colBreaks count="1" manualBreakCount="1">
    <brk id="10" max="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59"/>
  <sheetViews>
    <sheetView zoomScaleNormal="100" zoomScaleSheetLayoutView="100" workbookViewId="0">
      <selection activeCell="F21" sqref="F21"/>
    </sheetView>
  </sheetViews>
  <sheetFormatPr defaultRowHeight="15" x14ac:dyDescent="0.2"/>
  <cols>
    <col min="1" max="1" width="49.7109375" style="274" customWidth="1"/>
    <col min="2" max="2" width="16.28515625" style="274" customWidth="1"/>
    <col min="3" max="3" width="13.140625" style="274" customWidth="1"/>
    <col min="4" max="4" width="16.42578125" style="274" bestFit="1" customWidth="1"/>
    <col min="5" max="5" width="12" style="274" customWidth="1"/>
    <col min="6" max="6" width="18.28515625" style="274" customWidth="1"/>
    <col min="7" max="7" width="16.28515625" style="274" bestFit="1" customWidth="1"/>
    <col min="8" max="16384" width="9.140625" style="274"/>
  </cols>
  <sheetData>
    <row r="1" spans="1:6" ht="15.75" x14ac:dyDescent="0.2">
      <c r="A1" s="273"/>
      <c r="B1" s="273"/>
      <c r="C1" s="273"/>
      <c r="D1" s="273"/>
    </row>
    <row r="2" spans="1:6" ht="15.75" x14ac:dyDescent="0.2">
      <c r="A2" s="278"/>
      <c r="B2" s="279"/>
      <c r="C2" s="280"/>
      <c r="D2" s="281"/>
    </row>
    <row r="3" spans="1:6" ht="15.75" x14ac:dyDescent="0.2">
      <c r="A3" s="273"/>
      <c r="B3" s="273"/>
      <c r="C3" s="273"/>
      <c r="D3" s="273"/>
    </row>
    <row r="4" spans="1:6" x14ac:dyDescent="0.2">
      <c r="A4" s="436" t="s">
        <v>250</v>
      </c>
      <c r="B4" s="436"/>
      <c r="C4" s="436"/>
      <c r="D4" s="436"/>
      <c r="E4" s="436"/>
      <c r="F4" s="436"/>
    </row>
    <row r="5" spans="1:6" ht="15.75" x14ac:dyDescent="0.2">
      <c r="A5" s="276"/>
      <c r="B5" s="276"/>
      <c r="C5" s="276"/>
      <c r="D5" s="277"/>
    </row>
    <row r="6" spans="1:6" ht="16.5" thickBot="1" x14ac:dyDescent="0.25">
      <c r="A6" s="278"/>
      <c r="B6" s="279"/>
      <c r="C6" s="280"/>
      <c r="D6" s="281"/>
    </row>
    <row r="7" spans="1:6" ht="63" x14ac:dyDescent="0.2">
      <c r="A7" s="314" t="s">
        <v>165</v>
      </c>
      <c r="B7" s="301" t="s">
        <v>166</v>
      </c>
      <c r="C7" s="301" t="s">
        <v>167</v>
      </c>
      <c r="D7" s="301" t="s">
        <v>168</v>
      </c>
      <c r="E7" s="301" t="s">
        <v>169</v>
      </c>
      <c r="F7" s="315" t="s">
        <v>242</v>
      </c>
    </row>
    <row r="8" spans="1:6" ht="15.75" x14ac:dyDescent="0.2">
      <c r="A8" s="302" t="s">
        <v>251</v>
      </c>
      <c r="B8" s="64">
        <f>'12X36 DIU FORTAL CCT2023'!D123</f>
        <v>5640.09</v>
      </c>
      <c r="C8" s="268">
        <v>2</v>
      </c>
      <c r="D8" s="271">
        <f>B8*C8</f>
        <v>11280.18</v>
      </c>
      <c r="E8" s="269">
        <v>1</v>
      </c>
      <c r="F8" s="303">
        <f>D8*E8</f>
        <v>11280.18</v>
      </c>
    </row>
    <row r="9" spans="1:6" ht="15.75" x14ac:dyDescent="0.2">
      <c r="A9" s="304" t="s">
        <v>252</v>
      </c>
      <c r="B9" s="64">
        <f>'12X36 NOTURNO FORTAL CCT2023'!D123</f>
        <v>6896.62</v>
      </c>
      <c r="C9" s="268">
        <v>2</v>
      </c>
      <c r="D9" s="271">
        <f>B9*C9</f>
        <v>13793.24</v>
      </c>
      <c r="E9" s="269">
        <v>1</v>
      </c>
      <c r="F9" s="303">
        <f>D9*E9</f>
        <v>13793.24</v>
      </c>
    </row>
    <row r="10" spans="1:6" ht="16.5" thickBot="1" x14ac:dyDescent="0.25">
      <c r="A10" s="305"/>
      <c r="B10" s="306"/>
      <c r="C10" s="307"/>
      <c r="D10" s="308">
        <f>SUM(D8:D9)</f>
        <v>25073.42</v>
      </c>
      <c r="E10" s="309"/>
      <c r="F10" s="402">
        <f>SUM(F8:F9)</f>
        <v>25073.42</v>
      </c>
    </row>
    <row r="11" spans="1:6" ht="15.75" x14ac:dyDescent="0.2">
      <c r="A11" s="276"/>
      <c r="B11" s="276"/>
      <c r="C11" s="276"/>
      <c r="D11" s="277"/>
    </row>
    <row r="12" spans="1:6" x14ac:dyDescent="0.2">
      <c r="F12" s="282"/>
    </row>
    <row r="13" spans="1:6" x14ac:dyDescent="0.2">
      <c r="A13" s="275" t="s">
        <v>170</v>
      </c>
      <c r="B13" s="275"/>
      <c r="C13" s="275"/>
      <c r="D13" s="275"/>
      <c r="E13" s="275"/>
      <c r="F13" s="275"/>
    </row>
    <row r="14" spans="1:6" ht="15.75" thickBot="1" x14ac:dyDescent="0.25">
      <c r="A14" s="283"/>
      <c r="B14" s="284"/>
      <c r="C14" s="284"/>
      <c r="D14" s="284"/>
      <c r="E14" s="284"/>
      <c r="F14" s="284"/>
    </row>
    <row r="15" spans="1:6" x14ac:dyDescent="0.2">
      <c r="A15" s="433" t="s">
        <v>171</v>
      </c>
      <c r="B15" s="434"/>
      <c r="C15" s="434"/>
      <c r="D15" s="434"/>
      <c r="E15" s="434"/>
      <c r="F15" s="435"/>
    </row>
    <row r="16" spans="1:6" ht="15.75" x14ac:dyDescent="0.25">
      <c r="A16" s="316" t="s">
        <v>172</v>
      </c>
      <c r="B16" s="317"/>
      <c r="C16" s="317"/>
      <c r="D16" s="317"/>
      <c r="E16" s="317"/>
      <c r="F16" s="318" t="s">
        <v>173</v>
      </c>
    </row>
    <row r="17" spans="1:6" ht="15.75" x14ac:dyDescent="0.25">
      <c r="A17" s="319" t="s">
        <v>174</v>
      </c>
      <c r="B17" s="270"/>
      <c r="C17" s="270"/>
      <c r="D17" s="270"/>
      <c r="E17" s="270"/>
      <c r="F17" s="310">
        <f>SUM(F8:F9)</f>
        <v>25073.42</v>
      </c>
    </row>
    <row r="18" spans="1:6" ht="15.75" x14ac:dyDescent="0.25">
      <c r="A18" s="319" t="s">
        <v>175</v>
      </c>
      <c r="B18" s="270"/>
      <c r="C18" s="270"/>
      <c r="D18" s="270"/>
      <c r="E18" s="270"/>
      <c r="F18" s="311">
        <v>12</v>
      </c>
    </row>
    <row r="19" spans="1:6" ht="31.5" thickBot="1" x14ac:dyDescent="0.3">
      <c r="A19" s="320" t="s">
        <v>176</v>
      </c>
      <c r="B19" s="312"/>
      <c r="C19" s="312"/>
      <c r="D19" s="312"/>
      <c r="E19" s="312"/>
      <c r="F19" s="313">
        <f>F17*12</f>
        <v>300881.03999999998</v>
      </c>
    </row>
    <row r="20" spans="1:6" ht="15.75" x14ac:dyDescent="0.2">
      <c r="A20" s="273"/>
      <c r="B20" s="273"/>
      <c r="C20" s="273"/>
      <c r="D20" s="285"/>
    </row>
    <row r="21" spans="1:6" x14ac:dyDescent="0.2">
      <c r="F21" s="403">
        <f>F19*5%</f>
        <v>15044.052</v>
      </c>
    </row>
    <row r="22" spans="1:6" ht="15.75" x14ac:dyDescent="0.2">
      <c r="A22" s="5"/>
      <c r="B22" s="273"/>
      <c r="C22" s="273"/>
      <c r="D22" s="273"/>
      <c r="E22" s="273"/>
    </row>
    <row r="23" spans="1:6" ht="15.75" x14ac:dyDescent="0.2">
      <c r="A23" s="273"/>
      <c r="B23" s="286"/>
      <c r="C23" s="287"/>
      <c r="D23" s="288"/>
    </row>
    <row r="24" spans="1:6" ht="15.75" x14ac:dyDescent="0.2">
      <c r="A24" s="273"/>
      <c r="B24" s="273"/>
      <c r="C24" s="273"/>
      <c r="D24" s="285"/>
    </row>
    <row r="26" spans="1:6" ht="15.75" x14ac:dyDescent="0.2">
      <c r="A26" s="273"/>
      <c r="B26" s="273"/>
      <c r="C26" s="289"/>
      <c r="D26" s="273"/>
      <c r="E26" s="273"/>
      <c r="F26" s="273"/>
    </row>
    <row r="27" spans="1:6" ht="15.75" x14ac:dyDescent="0.2">
      <c r="A27" s="290"/>
      <c r="B27" s="273"/>
      <c r="C27" s="289"/>
      <c r="D27" s="289"/>
      <c r="E27" s="289"/>
      <c r="F27" s="273"/>
    </row>
    <row r="28" spans="1:6" ht="15.75" x14ac:dyDescent="0.2">
      <c r="A28" s="289"/>
      <c r="B28" s="273"/>
      <c r="C28" s="289"/>
      <c r="D28" s="289"/>
      <c r="E28" s="289"/>
      <c r="F28" s="273"/>
    </row>
    <row r="29" spans="1:6" ht="15.75" x14ac:dyDescent="0.2">
      <c r="A29" s="273"/>
      <c r="B29" s="291"/>
      <c r="C29" s="291"/>
      <c r="D29" s="292"/>
      <c r="E29" s="288"/>
      <c r="F29" s="287"/>
    </row>
    <row r="30" spans="1:6" ht="15.75" x14ac:dyDescent="0.2">
      <c r="A30" s="273"/>
      <c r="B30" s="291"/>
      <c r="C30" s="291"/>
      <c r="D30" s="292"/>
      <c r="E30" s="288"/>
      <c r="F30" s="287"/>
    </row>
    <row r="31" spans="1:6" ht="15.75" x14ac:dyDescent="0.2">
      <c r="A31" s="273"/>
      <c r="B31" s="273"/>
      <c r="C31" s="273"/>
      <c r="D31" s="273"/>
      <c r="E31" s="273"/>
      <c r="F31" s="273"/>
    </row>
    <row r="33" spans="1:6" ht="15.75" x14ac:dyDescent="0.2">
      <c r="A33" s="273"/>
      <c r="B33" s="273"/>
      <c r="C33" s="273"/>
      <c r="D33" s="273"/>
    </row>
    <row r="34" spans="1:6" ht="15.75" x14ac:dyDescent="0.2">
      <c r="A34" s="290"/>
      <c r="B34" s="273"/>
      <c r="C34" s="290"/>
      <c r="D34" s="273"/>
    </row>
    <row r="35" spans="1:6" x14ac:dyDescent="0.2">
      <c r="A35" s="291"/>
      <c r="B35" s="289"/>
      <c r="C35" s="293"/>
      <c r="D35" s="294"/>
    </row>
    <row r="36" spans="1:6" x14ac:dyDescent="0.2">
      <c r="A36" s="291"/>
      <c r="B36" s="289"/>
      <c r="C36" s="293"/>
      <c r="D36" s="294"/>
    </row>
    <row r="37" spans="1:6" x14ac:dyDescent="0.2">
      <c r="A37" s="291"/>
      <c r="B37" s="289"/>
      <c r="C37" s="293"/>
      <c r="D37" s="294"/>
    </row>
    <row r="38" spans="1:6" x14ac:dyDescent="0.2">
      <c r="A38" s="291"/>
      <c r="B38" s="289"/>
      <c r="C38" s="293"/>
      <c r="D38" s="294"/>
      <c r="F38" s="295"/>
    </row>
    <row r="39" spans="1:6" x14ac:dyDescent="0.2">
      <c r="A39" s="291"/>
      <c r="B39" s="289"/>
      <c r="C39" s="293"/>
      <c r="D39" s="294"/>
    </row>
    <row r="40" spans="1:6" x14ac:dyDescent="0.2">
      <c r="A40" s="291"/>
      <c r="B40" s="289"/>
      <c r="C40" s="293"/>
      <c r="D40" s="294"/>
    </row>
    <row r="41" spans="1:6" x14ac:dyDescent="0.2">
      <c r="A41" s="291"/>
      <c r="B41" s="289"/>
      <c r="C41" s="293"/>
      <c r="D41" s="294"/>
    </row>
    <row r="42" spans="1:6" x14ac:dyDescent="0.2">
      <c r="A42" s="291"/>
      <c r="B42" s="289"/>
      <c r="C42" s="293"/>
      <c r="D42" s="294"/>
    </row>
    <row r="43" spans="1:6" ht="15.75" x14ac:dyDescent="0.2">
      <c r="A43" s="273"/>
      <c r="B43" s="273"/>
      <c r="C43" s="273"/>
      <c r="D43" s="296"/>
    </row>
    <row r="44" spans="1:6" ht="15.75" x14ac:dyDescent="0.2">
      <c r="A44" s="273"/>
      <c r="B44" s="273"/>
      <c r="C44" s="273"/>
      <c r="D44" s="296"/>
      <c r="E44" s="297"/>
      <c r="F44" s="297"/>
    </row>
    <row r="45" spans="1:6" ht="15.75" x14ac:dyDescent="0.2">
      <c r="E45" s="298"/>
      <c r="F45" s="299"/>
    </row>
    <row r="46" spans="1:6" ht="15.75" x14ac:dyDescent="0.2">
      <c r="A46" s="273"/>
      <c r="B46" s="273"/>
      <c r="C46" s="273"/>
      <c r="D46" s="273"/>
      <c r="E46" s="298"/>
      <c r="F46" s="299"/>
    </row>
    <row r="47" spans="1:6" ht="15.75" x14ac:dyDescent="0.2">
      <c r="A47" s="290"/>
      <c r="B47" s="273"/>
      <c r="C47" s="290"/>
      <c r="D47" s="273"/>
      <c r="E47" s="298"/>
      <c r="F47" s="299"/>
    </row>
    <row r="48" spans="1:6" ht="15.75" x14ac:dyDescent="0.2">
      <c r="A48" s="291"/>
      <c r="B48" s="289"/>
      <c r="C48" s="293"/>
      <c r="D48" s="294"/>
      <c r="E48" s="298"/>
      <c r="F48" s="299"/>
    </row>
    <row r="49" spans="1:6" ht="15.75" x14ac:dyDescent="0.2">
      <c r="A49" s="291"/>
      <c r="B49" s="289"/>
      <c r="C49" s="293"/>
      <c r="D49" s="294"/>
      <c r="E49" s="298"/>
      <c r="F49" s="299"/>
    </row>
    <row r="50" spans="1:6" ht="15.75" x14ac:dyDescent="0.2">
      <c r="A50" s="291"/>
      <c r="B50" s="289"/>
      <c r="C50" s="293"/>
      <c r="D50" s="294"/>
      <c r="E50" s="298"/>
      <c r="F50" s="299"/>
    </row>
    <row r="51" spans="1:6" ht="15.75" x14ac:dyDescent="0.2">
      <c r="A51" s="291"/>
      <c r="B51" s="289"/>
      <c r="C51" s="293"/>
      <c r="D51" s="294"/>
      <c r="E51" s="298"/>
      <c r="F51" s="299"/>
    </row>
    <row r="52" spans="1:6" ht="15.75" x14ac:dyDescent="0.2">
      <c r="A52" s="291"/>
      <c r="B52" s="289"/>
      <c r="C52" s="293"/>
      <c r="D52" s="294"/>
      <c r="E52" s="298"/>
      <c r="F52" s="299"/>
    </row>
    <row r="53" spans="1:6" ht="15.75" x14ac:dyDescent="0.2">
      <c r="A53" s="291"/>
      <c r="B53" s="289"/>
      <c r="C53" s="293"/>
      <c r="D53" s="294"/>
      <c r="E53" s="298"/>
      <c r="F53" s="299"/>
    </row>
    <row r="54" spans="1:6" ht="15.75" x14ac:dyDescent="0.2">
      <c r="A54" s="291"/>
      <c r="B54" s="289"/>
      <c r="C54" s="293"/>
      <c r="D54" s="294"/>
      <c r="E54" s="298"/>
      <c r="F54" s="299"/>
    </row>
    <row r="55" spans="1:6" ht="15.75" x14ac:dyDescent="0.2">
      <c r="A55" s="291"/>
      <c r="B55" s="289"/>
      <c r="C55" s="293"/>
      <c r="D55" s="294"/>
      <c r="E55" s="298"/>
      <c r="F55" s="299"/>
    </row>
    <row r="56" spans="1:6" ht="15.75" x14ac:dyDescent="0.2">
      <c r="A56" s="273"/>
      <c r="B56" s="273"/>
      <c r="C56" s="273"/>
      <c r="D56" s="296"/>
      <c r="E56" s="298"/>
      <c r="F56" s="299"/>
    </row>
    <row r="57" spans="1:6" ht="15.75" x14ac:dyDescent="0.2">
      <c r="A57" s="273"/>
      <c r="B57" s="273"/>
      <c r="C57" s="273"/>
      <c r="D57" s="296"/>
      <c r="E57" s="298"/>
      <c r="F57" s="299"/>
    </row>
    <row r="58" spans="1:6" ht="15.75" x14ac:dyDescent="0.2">
      <c r="A58" s="273"/>
      <c r="B58" s="273"/>
      <c r="C58" s="273"/>
      <c r="D58" s="296"/>
      <c r="E58" s="300">
        <v>115289.07</v>
      </c>
    </row>
    <row r="59" spans="1:6" ht="15.75" x14ac:dyDescent="0.2">
      <c r="A59" s="273"/>
      <c r="B59" s="273"/>
      <c r="C59" s="273"/>
      <c r="D59" s="296"/>
    </row>
  </sheetData>
  <mergeCells count="2">
    <mergeCell ref="A15:F15"/>
    <mergeCell ref="A4:F4"/>
  </mergeCells>
  <pageMargins left="0.511811024" right="0.511811024" top="0.78740157499999996" bottom="0.78740157499999996" header="0.31496062000000002" footer="0.31496062000000002"/>
  <pageSetup paperSize="9" scale="7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6:D84"/>
  <sheetViews>
    <sheetView topLeftCell="A7" zoomScale="178" zoomScaleNormal="178" workbookViewId="0">
      <selection activeCell="B86" sqref="B86"/>
    </sheetView>
  </sheetViews>
  <sheetFormatPr defaultRowHeight="12.75" x14ac:dyDescent="0.2"/>
  <cols>
    <col min="1" max="1" width="6.85546875" customWidth="1"/>
    <col min="2" max="2" width="31.7109375" customWidth="1"/>
    <col min="3" max="3" width="16.42578125" style="89" customWidth="1"/>
    <col min="4" max="4" width="68.28515625" customWidth="1"/>
  </cols>
  <sheetData>
    <row r="6" spans="1:4" ht="13.5" thickBot="1" x14ac:dyDescent="0.25"/>
    <row r="7" spans="1:4" ht="17.100000000000001" customHeight="1" thickBot="1" x14ac:dyDescent="0.25">
      <c r="A7" s="452" t="s">
        <v>32</v>
      </c>
      <c r="B7" s="452"/>
      <c r="C7" s="452"/>
      <c r="D7" s="452"/>
    </row>
    <row r="8" spans="1:4" ht="17.100000000000001" customHeight="1" thickBot="1" x14ac:dyDescent="0.25">
      <c r="A8" s="92" t="s">
        <v>34</v>
      </c>
      <c r="B8" s="451" t="s">
        <v>35</v>
      </c>
      <c r="C8" s="451"/>
      <c r="D8" s="451"/>
    </row>
    <row r="9" spans="1:4" x14ac:dyDescent="0.2">
      <c r="A9" s="94" t="s">
        <v>2</v>
      </c>
      <c r="B9" s="103" t="s">
        <v>191</v>
      </c>
      <c r="C9" s="96">
        <v>8.3299999999999999E-2</v>
      </c>
      <c r="D9" s="103" t="s">
        <v>193</v>
      </c>
    </row>
    <row r="10" spans="1:4" ht="25.5" x14ac:dyDescent="0.2">
      <c r="A10" s="98" t="s">
        <v>4</v>
      </c>
      <c r="B10" s="41" t="s">
        <v>192</v>
      </c>
      <c r="C10" s="100">
        <v>0.1111</v>
      </c>
      <c r="D10" s="101" t="s">
        <v>194</v>
      </c>
    </row>
    <row r="11" spans="1:4" x14ac:dyDescent="0.2">
      <c r="C11" s="89">
        <f>SUM(C9:C10)</f>
        <v>0.19440000000000002</v>
      </c>
    </row>
    <row r="12" spans="1:4" ht="38.25" x14ac:dyDescent="0.2">
      <c r="B12" s="90" t="s">
        <v>187</v>
      </c>
      <c r="C12" s="89">
        <f>C11*C25</f>
        <v>7.4496024000000022E-2</v>
      </c>
    </row>
    <row r="13" spans="1:4" x14ac:dyDescent="0.2">
      <c r="B13" s="90"/>
      <c r="C13" s="89">
        <f>C12+C11</f>
        <v>0.26889602400000001</v>
      </c>
    </row>
    <row r="14" spans="1:4" ht="13.5" thickBot="1" x14ac:dyDescent="0.25"/>
    <row r="15" spans="1:4" ht="17.100000000000001" customHeight="1" thickBot="1" x14ac:dyDescent="0.25">
      <c r="A15" s="440" t="s">
        <v>40</v>
      </c>
      <c r="B15" s="440"/>
      <c r="C15" s="440"/>
      <c r="D15" s="440"/>
    </row>
    <row r="16" spans="1:4" ht="17.100000000000001" customHeight="1" thickBot="1" x14ac:dyDescent="0.25">
      <c r="A16" s="92" t="s">
        <v>41</v>
      </c>
      <c r="B16" s="451" t="s">
        <v>42</v>
      </c>
      <c r="C16" s="451"/>
      <c r="D16" s="451"/>
    </row>
    <row r="17" spans="1:4" ht="25.5" x14ac:dyDescent="0.2">
      <c r="A17" s="94" t="s">
        <v>2</v>
      </c>
      <c r="B17" s="95" t="s">
        <v>44</v>
      </c>
      <c r="C17" s="96">
        <v>0.2</v>
      </c>
      <c r="D17" s="97" t="s">
        <v>195</v>
      </c>
    </row>
    <row r="18" spans="1:4" ht="25.5" x14ac:dyDescent="0.2">
      <c r="A18" s="98" t="s">
        <v>4</v>
      </c>
      <c r="B18" s="99" t="s">
        <v>45</v>
      </c>
      <c r="C18" s="100">
        <v>2.5000000000000001E-2</v>
      </c>
      <c r="D18" s="101" t="s">
        <v>196</v>
      </c>
    </row>
    <row r="19" spans="1:4" ht="76.5" x14ac:dyDescent="0.2">
      <c r="A19" s="98" t="s">
        <v>6</v>
      </c>
      <c r="B19" s="99" t="s">
        <v>46</v>
      </c>
      <c r="C19" s="140">
        <f>3%*1.507</f>
        <v>4.5209999999999993E-2</v>
      </c>
      <c r="D19" s="102" t="s">
        <v>197</v>
      </c>
    </row>
    <row r="20" spans="1:4" ht="25.5" x14ac:dyDescent="0.2">
      <c r="A20" s="98" t="s">
        <v>8</v>
      </c>
      <c r="B20" s="99" t="s">
        <v>47</v>
      </c>
      <c r="C20" s="100">
        <v>1.4999999999999999E-2</v>
      </c>
      <c r="D20" s="101" t="s">
        <v>198</v>
      </c>
    </row>
    <row r="21" spans="1:4" ht="25.5" x14ac:dyDescent="0.2">
      <c r="A21" s="98" t="s">
        <v>25</v>
      </c>
      <c r="B21" s="99" t="s">
        <v>48</v>
      </c>
      <c r="C21" s="100">
        <v>0.01</v>
      </c>
      <c r="D21" s="101" t="s">
        <v>199</v>
      </c>
    </row>
    <row r="22" spans="1:4" ht="25.5" x14ac:dyDescent="0.2">
      <c r="A22" s="98" t="s">
        <v>27</v>
      </c>
      <c r="B22" s="99" t="s">
        <v>49</v>
      </c>
      <c r="C22" s="100">
        <v>6.0000000000000001E-3</v>
      </c>
      <c r="D22" s="101" t="s">
        <v>200</v>
      </c>
    </row>
    <row r="23" spans="1:4" ht="25.5" x14ac:dyDescent="0.2">
      <c r="A23" s="98" t="s">
        <v>29</v>
      </c>
      <c r="B23" s="99" t="s">
        <v>50</v>
      </c>
      <c r="C23" s="100">
        <v>2E-3</v>
      </c>
      <c r="D23" s="101" t="s">
        <v>201</v>
      </c>
    </row>
    <row r="24" spans="1:4" ht="25.5" x14ac:dyDescent="0.2">
      <c r="A24" s="98" t="s">
        <v>51</v>
      </c>
      <c r="B24" s="99" t="s">
        <v>52</v>
      </c>
      <c r="C24" s="100">
        <v>0.08</v>
      </c>
      <c r="D24" s="101" t="s">
        <v>202</v>
      </c>
    </row>
    <row r="25" spans="1:4" x14ac:dyDescent="0.2">
      <c r="C25" s="89">
        <f>SUM(C17:C24)</f>
        <v>0.38321000000000005</v>
      </c>
      <c r="D25" s="90"/>
    </row>
    <row r="26" spans="1:4" ht="13.5" thickBot="1" x14ac:dyDescent="0.25">
      <c r="D26" s="90"/>
    </row>
    <row r="27" spans="1:4" ht="13.5" thickBot="1" x14ac:dyDescent="0.25">
      <c r="A27" s="440" t="s">
        <v>54</v>
      </c>
      <c r="B27" s="440"/>
      <c r="C27" s="440"/>
      <c r="D27" s="440"/>
    </row>
    <row r="28" spans="1:4" ht="13.5" thickBot="1" x14ac:dyDescent="0.25">
      <c r="A28" s="92" t="s">
        <v>55</v>
      </c>
      <c r="B28" s="451" t="s">
        <v>56</v>
      </c>
      <c r="C28" s="451"/>
      <c r="D28" s="451"/>
    </row>
    <row r="29" spans="1:4" ht="12.75" customHeight="1" x14ac:dyDescent="0.2">
      <c r="A29" s="104" t="s">
        <v>2</v>
      </c>
      <c r="B29" s="105" t="s">
        <v>57</v>
      </c>
      <c r="C29" s="141">
        <f>(4*30)-1526.67*6%</f>
        <v>28.399799999999999</v>
      </c>
      <c r="D29" s="97" t="s">
        <v>203</v>
      </c>
    </row>
    <row r="30" spans="1:4" x14ac:dyDescent="0.2">
      <c r="A30" s="106" t="s">
        <v>4</v>
      </c>
      <c r="B30" s="107" t="s">
        <v>58</v>
      </c>
      <c r="C30" s="110">
        <v>522.74</v>
      </c>
      <c r="D30" s="110"/>
    </row>
    <row r="31" spans="1:4" ht="12.75" customHeight="1" x14ac:dyDescent="0.2">
      <c r="A31" s="106" t="s">
        <v>6</v>
      </c>
      <c r="B31" s="107" t="s">
        <v>59</v>
      </c>
      <c r="C31" s="101"/>
      <c r="D31" s="101" t="s">
        <v>204</v>
      </c>
    </row>
    <row r="32" spans="1:4" x14ac:dyDescent="0.2">
      <c r="A32" s="106" t="s">
        <v>8</v>
      </c>
      <c r="B32" s="107" t="s">
        <v>60</v>
      </c>
      <c r="C32" s="101"/>
      <c r="D32" s="101" t="s">
        <v>204</v>
      </c>
    </row>
    <row r="33" spans="1:4" x14ac:dyDescent="0.2">
      <c r="A33" s="106" t="s">
        <v>25</v>
      </c>
      <c r="B33" s="107" t="s">
        <v>61</v>
      </c>
      <c r="C33" s="258">
        <v>49.97</v>
      </c>
      <c r="D33" s="259" t="s">
        <v>240</v>
      </c>
    </row>
    <row r="34" spans="1:4" x14ac:dyDescent="0.2">
      <c r="A34" s="106" t="s">
        <v>27</v>
      </c>
      <c r="B34" s="108" t="s">
        <v>62</v>
      </c>
      <c r="C34" s="152">
        <v>14.97</v>
      </c>
      <c r="D34" s="259" t="s">
        <v>241</v>
      </c>
    </row>
    <row r="35" spans="1:4" ht="41.25" customHeight="1" x14ac:dyDescent="0.2">
      <c r="A35" s="106" t="s">
        <v>29</v>
      </c>
      <c r="B35" s="109" t="s">
        <v>156</v>
      </c>
      <c r="C35" s="142">
        <f>(1526.67+458)/220*1.5*15</f>
        <v>202.97761363636366</v>
      </c>
      <c r="D35" s="101" t="s">
        <v>205</v>
      </c>
    </row>
    <row r="36" spans="1:4" x14ac:dyDescent="0.2">
      <c r="D36" s="90"/>
    </row>
    <row r="37" spans="1:4" ht="13.5" thickBot="1" x14ac:dyDescent="0.25">
      <c r="D37" s="90"/>
    </row>
    <row r="38" spans="1:4" ht="13.5" thickBot="1" x14ac:dyDescent="0.25">
      <c r="A38" s="442" t="s">
        <v>66</v>
      </c>
      <c r="B38" s="443"/>
      <c r="C38" s="443"/>
      <c r="D38" s="444"/>
    </row>
    <row r="39" spans="1:4" ht="13.5" thickBot="1" x14ac:dyDescent="0.25">
      <c r="A39" s="92">
        <v>3</v>
      </c>
      <c r="B39" s="445" t="s">
        <v>67</v>
      </c>
      <c r="C39" s="446"/>
      <c r="D39" s="447"/>
    </row>
    <row r="40" spans="1:4" ht="25.5" x14ac:dyDescent="0.2">
      <c r="A40" s="9" t="s">
        <v>2</v>
      </c>
      <c r="B40" s="39" t="s">
        <v>68</v>
      </c>
      <c r="C40" s="96">
        <f>((0.05*(1/12)*100%))</f>
        <v>4.1666666666666666E-3</v>
      </c>
      <c r="D40" s="97" t="s">
        <v>206</v>
      </c>
    </row>
    <row r="41" spans="1:4" ht="25.5" x14ac:dyDescent="0.2">
      <c r="A41" s="9" t="s">
        <v>4</v>
      </c>
      <c r="B41" s="35" t="s">
        <v>69</v>
      </c>
      <c r="C41" s="100">
        <f>C40*C24</f>
        <v>3.3333333333333332E-4</v>
      </c>
      <c r="D41" s="41" t="s">
        <v>207</v>
      </c>
    </row>
    <row r="42" spans="1:4" ht="25.5" x14ac:dyDescent="0.2">
      <c r="A42" s="9" t="s">
        <v>6</v>
      </c>
      <c r="B42" s="35" t="s">
        <v>70</v>
      </c>
      <c r="C42" s="100">
        <v>3.2000000000000002E-3</v>
      </c>
      <c r="D42" s="41" t="s">
        <v>208</v>
      </c>
    </row>
    <row r="43" spans="1:4" ht="38.25" x14ac:dyDescent="0.2">
      <c r="A43" s="9" t="s">
        <v>8</v>
      </c>
      <c r="B43" s="35" t="s">
        <v>71</v>
      </c>
      <c r="C43" s="143">
        <f>((7/30)/12)*100</f>
        <v>1.9444444444444444</v>
      </c>
      <c r="D43" s="101" t="s">
        <v>209</v>
      </c>
    </row>
    <row r="44" spans="1:4" ht="25.5" x14ac:dyDescent="0.2">
      <c r="A44" s="9" t="s">
        <v>25</v>
      </c>
      <c r="B44" s="35" t="s">
        <v>72</v>
      </c>
      <c r="C44" s="143">
        <f>C43*C25</f>
        <v>0.74513055555555563</v>
      </c>
      <c r="D44" s="41" t="s">
        <v>210</v>
      </c>
    </row>
    <row r="45" spans="1:4" ht="25.5" x14ac:dyDescent="0.2">
      <c r="A45" s="9" t="s">
        <v>27</v>
      </c>
      <c r="B45" s="35" t="s">
        <v>73</v>
      </c>
      <c r="C45" s="100">
        <v>8.0000000000000002E-3</v>
      </c>
      <c r="D45" s="41" t="s">
        <v>211</v>
      </c>
    </row>
    <row r="46" spans="1:4" x14ac:dyDescent="0.2">
      <c r="C46" s="89">
        <f>0.42%+0.03%+0.32%+1.94%+0.75%+0.8%</f>
        <v>4.2599999999999999E-2</v>
      </c>
    </row>
    <row r="47" spans="1:4" ht="13.5" thickBot="1" x14ac:dyDescent="0.25"/>
    <row r="48" spans="1:4" ht="13.5" thickBot="1" x14ac:dyDescent="0.25">
      <c r="A48" s="442" t="s">
        <v>74</v>
      </c>
      <c r="B48" s="443"/>
      <c r="C48" s="443"/>
      <c r="D48" s="444"/>
    </row>
    <row r="49" spans="1:4" ht="13.5" thickBot="1" x14ac:dyDescent="0.25">
      <c r="A49" s="448" t="s">
        <v>75</v>
      </c>
      <c r="B49" s="449"/>
      <c r="C49" s="449"/>
      <c r="D49" s="450"/>
    </row>
    <row r="50" spans="1:4" ht="13.5" thickBot="1" x14ac:dyDescent="0.25">
      <c r="A50" s="91" t="s">
        <v>76</v>
      </c>
      <c r="B50" s="91" t="s">
        <v>77</v>
      </c>
      <c r="C50" s="144"/>
    </row>
    <row r="51" spans="1:4" ht="38.25" x14ac:dyDescent="0.2">
      <c r="A51" s="112" t="s">
        <v>2</v>
      </c>
      <c r="B51" s="113" t="s">
        <v>188</v>
      </c>
      <c r="C51" s="153">
        <f>(11.11%+8.33%)/12*100%</f>
        <v>1.6199999999999999E-2</v>
      </c>
      <c r="D51" s="114" t="s">
        <v>212</v>
      </c>
    </row>
    <row r="52" spans="1:4" ht="25.5" x14ac:dyDescent="0.2">
      <c r="A52" s="106" t="s">
        <v>4</v>
      </c>
      <c r="B52" s="99" t="s">
        <v>77</v>
      </c>
      <c r="C52" s="100">
        <v>8.2000000000000007E-3</v>
      </c>
      <c r="D52" s="101" t="s">
        <v>213</v>
      </c>
    </row>
    <row r="53" spans="1:4" x14ac:dyDescent="0.2">
      <c r="A53" s="106" t="s">
        <v>6</v>
      </c>
      <c r="B53" s="99" t="s">
        <v>79</v>
      </c>
      <c r="C53" s="100">
        <v>2.0000000000000001E-4</v>
      </c>
      <c r="D53" s="101" t="s">
        <v>214</v>
      </c>
    </row>
    <row r="54" spans="1:4" x14ac:dyDescent="0.2">
      <c r="A54" s="106" t="s">
        <v>8</v>
      </c>
      <c r="B54" s="99" t="s">
        <v>80</v>
      </c>
      <c r="C54" s="100">
        <v>2.9999999999999997E-4</v>
      </c>
      <c r="D54" s="101" t="s">
        <v>215</v>
      </c>
    </row>
    <row r="55" spans="1:4" ht="76.5" x14ac:dyDescent="0.2">
      <c r="A55" s="106" t="s">
        <v>25</v>
      </c>
      <c r="B55" s="99" t="s">
        <v>81</v>
      </c>
      <c r="C55" s="100">
        <v>1.8700000000000001E-2</v>
      </c>
      <c r="D55" s="101" t="s">
        <v>216</v>
      </c>
    </row>
    <row r="56" spans="1:4" x14ac:dyDescent="0.2">
      <c r="A56" s="106" t="s">
        <v>27</v>
      </c>
      <c r="B56" s="99" t="s">
        <v>82</v>
      </c>
      <c r="C56" s="100">
        <v>1.66E-2</v>
      </c>
      <c r="D56" s="101" t="s">
        <v>217</v>
      </c>
    </row>
    <row r="57" spans="1:4" x14ac:dyDescent="0.2">
      <c r="A57" s="106" t="s">
        <v>29</v>
      </c>
      <c r="B57" s="99" t="s">
        <v>30</v>
      </c>
      <c r="C57" s="100"/>
      <c r="D57" s="101"/>
    </row>
    <row r="58" spans="1:4" ht="25.5" x14ac:dyDescent="0.2">
      <c r="A58" s="106"/>
      <c r="B58" s="99" t="s">
        <v>83</v>
      </c>
      <c r="C58" s="100">
        <v>2.3099999999999999E-2</v>
      </c>
      <c r="D58" s="101" t="s">
        <v>218</v>
      </c>
    </row>
    <row r="59" spans="1:4" x14ac:dyDescent="0.2">
      <c r="C59" s="89">
        <f>SUM(C51:C58)</f>
        <v>8.3299999999999999E-2</v>
      </c>
    </row>
    <row r="60" spans="1:4" ht="13.5" thickBot="1" x14ac:dyDescent="0.25">
      <c r="C60" s="89">
        <f>C59+C46+C25+C13</f>
        <v>0.77800602400000007</v>
      </c>
    </row>
    <row r="61" spans="1:4" ht="13.5" thickBot="1" x14ac:dyDescent="0.25">
      <c r="A61" s="437" t="s">
        <v>84</v>
      </c>
      <c r="B61" s="438"/>
      <c r="C61" s="438"/>
      <c r="D61" s="439"/>
    </row>
    <row r="62" spans="1:4" x14ac:dyDescent="0.2">
      <c r="A62" s="124" t="s">
        <v>85</v>
      </c>
      <c r="B62" s="125" t="s">
        <v>59</v>
      </c>
      <c r="C62" s="126" t="s">
        <v>20</v>
      </c>
      <c r="D62" s="127"/>
    </row>
    <row r="63" spans="1:4" ht="13.5" thickBot="1" x14ac:dyDescent="0.25">
      <c r="A63" s="19" t="s">
        <v>2</v>
      </c>
      <c r="B63" s="115" t="s">
        <v>86</v>
      </c>
      <c r="C63" s="116"/>
      <c r="D63" s="117" t="s">
        <v>204</v>
      </c>
    </row>
    <row r="65" spans="1:4" ht="13.5" thickBot="1" x14ac:dyDescent="0.25"/>
    <row r="66" spans="1:4" ht="13.5" thickBot="1" x14ac:dyDescent="0.25">
      <c r="A66" s="440" t="s">
        <v>89</v>
      </c>
      <c r="B66" s="440"/>
      <c r="C66" s="440"/>
      <c r="D66" s="440"/>
    </row>
    <row r="67" spans="1:4" ht="13.5" thickBot="1" x14ac:dyDescent="0.25">
      <c r="A67" s="92">
        <v>5</v>
      </c>
      <c r="B67" s="136" t="s">
        <v>90</v>
      </c>
      <c r="C67" s="137" t="s">
        <v>20</v>
      </c>
      <c r="D67" s="138"/>
    </row>
    <row r="68" spans="1:4" x14ac:dyDescent="0.2">
      <c r="A68" s="128" t="s">
        <v>2</v>
      </c>
      <c r="B68" s="129" t="s">
        <v>91</v>
      </c>
      <c r="C68" s="149">
        <f>Uniformes!F15</f>
        <v>41.613888888888887</v>
      </c>
      <c r="D68" s="127" t="s">
        <v>219</v>
      </c>
    </row>
    <row r="69" spans="1:4" x14ac:dyDescent="0.2">
      <c r="A69" s="119" t="s">
        <v>4</v>
      </c>
      <c r="B69" s="120" t="s">
        <v>92</v>
      </c>
      <c r="C69" s="150">
        <f>Materiais!E8</f>
        <v>7.5037499999999993</v>
      </c>
      <c r="D69" s="118" t="s">
        <v>220</v>
      </c>
    </row>
    <row r="70" spans="1:4" ht="13.5" thickBot="1" x14ac:dyDescent="0.25">
      <c r="A70" s="121" t="s">
        <v>6</v>
      </c>
      <c r="B70" s="122" t="s">
        <v>93</v>
      </c>
      <c r="C70" s="151">
        <f>Equipamentos!F7</f>
        <v>19.340450000000004</v>
      </c>
      <c r="D70" s="123" t="s">
        <v>221</v>
      </c>
    </row>
    <row r="72" spans="1:4" ht="13.5" thickBot="1" x14ac:dyDescent="0.25"/>
    <row r="73" spans="1:4" ht="13.5" thickBot="1" x14ac:dyDescent="0.25">
      <c r="A73" s="441" t="s">
        <v>95</v>
      </c>
      <c r="B73" s="441"/>
      <c r="C73" s="441"/>
      <c r="D73" s="441"/>
    </row>
    <row r="74" spans="1:4" ht="26.25" thickBot="1" x14ac:dyDescent="0.25">
      <c r="A74" s="132">
        <v>6</v>
      </c>
      <c r="B74" s="133" t="s">
        <v>96</v>
      </c>
      <c r="C74" s="134" t="s">
        <v>43</v>
      </c>
      <c r="D74" s="135"/>
    </row>
    <row r="75" spans="1:4" ht="25.5" x14ac:dyDescent="0.2">
      <c r="A75" s="130" t="s">
        <v>2</v>
      </c>
      <c r="B75" s="131" t="s">
        <v>97</v>
      </c>
      <c r="C75" s="154" t="s">
        <v>235</v>
      </c>
      <c r="D75" s="93" t="s">
        <v>222</v>
      </c>
    </row>
    <row r="76" spans="1:4" x14ac:dyDescent="0.2">
      <c r="A76" s="30" t="s">
        <v>4</v>
      </c>
      <c r="B76" s="35" t="s">
        <v>98</v>
      </c>
      <c r="C76" s="100">
        <v>2E-3</v>
      </c>
      <c r="D76" s="41" t="s">
        <v>223</v>
      </c>
    </row>
    <row r="77" spans="1:4" x14ac:dyDescent="0.2">
      <c r="A77" s="30" t="s">
        <v>6</v>
      </c>
      <c r="B77" s="35" t="s">
        <v>99</v>
      </c>
      <c r="C77" s="100"/>
      <c r="D77" s="41"/>
    </row>
    <row r="78" spans="1:4" ht="25.5" x14ac:dyDescent="0.2">
      <c r="A78" s="30"/>
      <c r="B78" s="35" t="s">
        <v>160</v>
      </c>
      <c r="C78" s="100">
        <v>3.6499999999999998E-2</v>
      </c>
      <c r="D78" s="101" t="s">
        <v>224</v>
      </c>
    </row>
    <row r="79" spans="1:4" x14ac:dyDescent="0.2">
      <c r="A79" s="30"/>
      <c r="B79" s="35" t="s">
        <v>100</v>
      </c>
      <c r="C79" s="100"/>
      <c r="D79" s="41"/>
    </row>
    <row r="80" spans="1:4" ht="25.5" x14ac:dyDescent="0.2">
      <c r="A80" s="30"/>
      <c r="B80" s="35" t="s">
        <v>101</v>
      </c>
      <c r="C80" s="100"/>
      <c r="D80" s="41"/>
    </row>
    <row r="81" spans="1:4" ht="25.5" x14ac:dyDescent="0.2">
      <c r="A81" s="30"/>
      <c r="B81" s="35" t="s">
        <v>102</v>
      </c>
      <c r="C81" s="100">
        <v>0.05</v>
      </c>
      <c r="D81" s="111" t="s">
        <v>224</v>
      </c>
    </row>
    <row r="84" spans="1:4" x14ac:dyDescent="0.2">
      <c r="B84" s="5"/>
    </row>
  </sheetData>
  <mergeCells count="13">
    <mergeCell ref="B28:D28"/>
    <mergeCell ref="A15:D15"/>
    <mergeCell ref="A7:D7"/>
    <mergeCell ref="B8:D8"/>
    <mergeCell ref="B16:D16"/>
    <mergeCell ref="A27:D27"/>
    <mergeCell ref="A61:D61"/>
    <mergeCell ref="A66:D66"/>
    <mergeCell ref="A73:D73"/>
    <mergeCell ref="A38:D38"/>
    <mergeCell ref="B39:D39"/>
    <mergeCell ref="A48:D48"/>
    <mergeCell ref="A49:D49"/>
  </mergeCells>
  <pageMargins left="0.511811024" right="0.511811024" top="0.56999999999999995" bottom="0.55000000000000004" header="0.31496062000000002" footer="0.31496062000000002"/>
  <pageSetup paperSize="9" scale="76" fitToHeight="0" orientation="portrait" r:id="rId1"/>
  <rowBreaks count="1" manualBreakCount="1">
    <brk id="60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6"/>
  <sheetViews>
    <sheetView view="pageBreakPreview" topLeftCell="A7" zoomScale="160" zoomScaleNormal="100" zoomScaleSheetLayoutView="160" workbookViewId="0">
      <selection activeCell="F14" sqref="F14"/>
    </sheetView>
  </sheetViews>
  <sheetFormatPr defaultRowHeight="42.75" customHeight="1" x14ac:dyDescent="0.2"/>
  <cols>
    <col min="1" max="1" width="18" customWidth="1"/>
    <col min="2" max="2" width="10" customWidth="1"/>
    <col min="3" max="3" width="9.5703125" customWidth="1"/>
    <col min="4" max="4" width="18.7109375" customWidth="1"/>
    <col min="5" max="5" width="14.7109375" customWidth="1"/>
    <col min="6" max="6" width="13.85546875" customWidth="1"/>
  </cols>
  <sheetData>
    <row r="1" spans="1:7" ht="42.75" customHeight="1" thickBot="1" x14ac:dyDescent="0.35">
      <c r="A1" s="48"/>
      <c r="B1" s="453" t="s">
        <v>190</v>
      </c>
      <c r="C1" s="454"/>
      <c r="D1" s="454"/>
      <c r="E1" s="454"/>
      <c r="F1" s="454"/>
      <c r="G1" s="454"/>
    </row>
    <row r="2" spans="1:7" ht="42.75" customHeight="1" thickBot="1" x14ac:dyDescent="0.25">
      <c r="A2" s="49" t="s">
        <v>122</v>
      </c>
      <c r="B2" s="46" t="s">
        <v>123</v>
      </c>
      <c r="C2" s="46" t="s">
        <v>124</v>
      </c>
      <c r="D2" s="50" t="s">
        <v>125</v>
      </c>
      <c r="E2" s="65" t="s">
        <v>126</v>
      </c>
      <c r="F2" s="65" t="s">
        <v>127</v>
      </c>
      <c r="G2" s="48"/>
    </row>
    <row r="3" spans="1:7" ht="42.75" customHeight="1" thickBot="1" x14ac:dyDescent="0.25">
      <c r="A3" s="51" t="s">
        <v>128</v>
      </c>
      <c r="B3" s="52" t="s">
        <v>129</v>
      </c>
      <c r="C3" s="52">
        <v>4</v>
      </c>
      <c r="D3" s="53" t="s">
        <v>130</v>
      </c>
      <c r="E3" s="66">
        <v>29.16</v>
      </c>
      <c r="F3" s="66">
        <f t="shared" ref="F3:F8" si="0">E3*C3</f>
        <v>116.64</v>
      </c>
      <c r="G3" s="48"/>
    </row>
    <row r="4" spans="1:7" ht="42.75" customHeight="1" thickBot="1" x14ac:dyDescent="0.25">
      <c r="A4" s="51" t="s">
        <v>113</v>
      </c>
      <c r="B4" s="52" t="s">
        <v>129</v>
      </c>
      <c r="C4" s="52">
        <v>4</v>
      </c>
      <c r="D4" s="53" t="s">
        <v>131</v>
      </c>
      <c r="E4" s="66">
        <v>25</v>
      </c>
      <c r="F4" s="66">
        <f t="shared" si="0"/>
        <v>100</v>
      </c>
      <c r="G4" s="48"/>
    </row>
    <row r="5" spans="1:7" ht="42.75" customHeight="1" thickBot="1" x14ac:dyDescent="0.25">
      <c r="A5" s="51" t="s">
        <v>132</v>
      </c>
      <c r="B5" s="52" t="s">
        <v>133</v>
      </c>
      <c r="C5" s="52">
        <v>2</v>
      </c>
      <c r="D5" s="53" t="s">
        <v>134</v>
      </c>
      <c r="E5" s="66">
        <v>48</v>
      </c>
      <c r="F5" s="66">
        <f t="shared" si="0"/>
        <v>96</v>
      </c>
      <c r="G5" s="48"/>
    </row>
    <row r="6" spans="1:7" ht="42.75" customHeight="1" thickBot="1" x14ac:dyDescent="0.25">
      <c r="A6" s="51" t="s">
        <v>135</v>
      </c>
      <c r="B6" s="52" t="s">
        <v>133</v>
      </c>
      <c r="C6" s="52">
        <v>4</v>
      </c>
      <c r="D6" s="53" t="s">
        <v>136</v>
      </c>
      <c r="E6" s="66">
        <v>6.2649999999999997</v>
      </c>
      <c r="F6" s="66">
        <f t="shared" si="0"/>
        <v>25.06</v>
      </c>
      <c r="G6" s="48"/>
    </row>
    <row r="7" spans="1:7" ht="53.25" customHeight="1" thickBot="1" x14ac:dyDescent="0.25">
      <c r="A7" s="51" t="s">
        <v>137</v>
      </c>
      <c r="B7" s="52" t="s">
        <v>129</v>
      </c>
      <c r="C7" s="52">
        <v>2</v>
      </c>
      <c r="D7" s="53" t="s">
        <v>138</v>
      </c>
      <c r="E7" s="66">
        <v>15</v>
      </c>
      <c r="F7" s="66">
        <f t="shared" si="0"/>
        <v>30</v>
      </c>
      <c r="G7" s="48"/>
    </row>
    <row r="8" spans="1:7" ht="36.75" customHeight="1" thickBot="1" x14ac:dyDescent="0.25">
      <c r="A8" s="51" t="s">
        <v>139</v>
      </c>
      <c r="B8" s="52" t="s">
        <v>129</v>
      </c>
      <c r="C8" s="52">
        <v>2</v>
      </c>
      <c r="D8" s="53" t="s">
        <v>140</v>
      </c>
      <c r="E8" s="66">
        <v>15</v>
      </c>
      <c r="F8" s="66">
        <f t="shared" si="0"/>
        <v>30</v>
      </c>
      <c r="G8" s="48"/>
    </row>
    <row r="9" spans="1:7" ht="30" customHeight="1" thickBot="1" x14ac:dyDescent="0.25">
      <c r="A9" s="51" t="s">
        <v>114</v>
      </c>
      <c r="B9" s="52" t="s">
        <v>129</v>
      </c>
      <c r="C9" s="52">
        <v>1</v>
      </c>
      <c r="D9" s="52"/>
      <c r="E9" s="66">
        <v>5</v>
      </c>
      <c r="F9" s="66">
        <f t="shared" ref="F9:F13" si="1">E9*C9</f>
        <v>5</v>
      </c>
      <c r="G9" s="48"/>
    </row>
    <row r="10" spans="1:7" ht="55.5" customHeight="1" thickBot="1" x14ac:dyDescent="0.25">
      <c r="A10" s="51" t="s">
        <v>141</v>
      </c>
      <c r="B10" s="52" t="s">
        <v>129</v>
      </c>
      <c r="C10" s="52">
        <v>2</v>
      </c>
      <c r="D10" s="53" t="s">
        <v>142</v>
      </c>
      <c r="E10" s="66">
        <v>25</v>
      </c>
      <c r="F10" s="66">
        <f t="shared" si="1"/>
        <v>50</v>
      </c>
      <c r="G10" s="48"/>
    </row>
    <row r="11" spans="1:7" ht="51" customHeight="1" thickBot="1" x14ac:dyDescent="0.25">
      <c r="A11" s="51" t="s">
        <v>143</v>
      </c>
      <c r="B11" s="52" t="s">
        <v>129</v>
      </c>
      <c r="C11" s="52">
        <v>1</v>
      </c>
      <c r="D11" s="53" t="s">
        <v>144</v>
      </c>
      <c r="E11" s="66">
        <v>25</v>
      </c>
      <c r="F11" s="66">
        <f t="shared" si="1"/>
        <v>25</v>
      </c>
      <c r="G11" s="48"/>
    </row>
    <row r="12" spans="1:7" ht="50.25" customHeight="1" thickBot="1" x14ac:dyDescent="0.25">
      <c r="A12" s="51" t="s">
        <v>234</v>
      </c>
      <c r="B12" s="52" t="s">
        <v>129</v>
      </c>
      <c r="C12" s="52">
        <v>1</v>
      </c>
      <c r="D12" s="53" t="s">
        <v>145</v>
      </c>
      <c r="E12" s="66">
        <v>16.666666666666668</v>
      </c>
      <c r="F12" s="66">
        <f t="shared" si="1"/>
        <v>16.666666666666668</v>
      </c>
      <c r="G12" s="48"/>
    </row>
    <row r="13" spans="1:7" ht="51.75" customHeight="1" thickBot="1" x14ac:dyDescent="0.25">
      <c r="A13" s="146" t="s">
        <v>146</v>
      </c>
      <c r="B13" s="52" t="s">
        <v>129</v>
      </c>
      <c r="C13" s="52">
        <v>1</v>
      </c>
      <c r="D13" s="53" t="s">
        <v>147</v>
      </c>
      <c r="E13" s="66">
        <v>5</v>
      </c>
      <c r="F13" s="66">
        <f t="shared" si="1"/>
        <v>5</v>
      </c>
      <c r="G13" s="48"/>
    </row>
    <row r="14" spans="1:7" ht="26.25" customHeight="1" thickBot="1" x14ac:dyDescent="0.3">
      <c r="A14" s="147"/>
      <c r="B14" s="455" t="s">
        <v>158</v>
      </c>
      <c r="C14" s="456"/>
      <c r="D14" s="456"/>
      <c r="E14" s="457"/>
      <c r="F14" s="67">
        <f>SUM(F3:F13)</f>
        <v>499.36666666666667</v>
      </c>
      <c r="G14" s="48"/>
    </row>
    <row r="15" spans="1:7" ht="21" customHeight="1" thickBot="1" x14ac:dyDescent="0.3">
      <c r="A15" s="148"/>
      <c r="B15" s="455" t="s">
        <v>159</v>
      </c>
      <c r="C15" s="456"/>
      <c r="D15" s="456"/>
      <c r="E15" s="457"/>
      <c r="F15" s="68">
        <f>F14/12</f>
        <v>41.613888888888887</v>
      </c>
      <c r="G15" s="48"/>
    </row>
    <row r="16" spans="1:7" ht="42.75" customHeight="1" x14ac:dyDescent="0.2">
      <c r="D16" s="5"/>
    </row>
  </sheetData>
  <mergeCells count="3">
    <mergeCell ref="B1:G1"/>
    <mergeCell ref="B14:E14"/>
    <mergeCell ref="B15:E15"/>
  </mergeCells>
  <pageMargins left="0.511811024" right="0.511811024" top="0.78740157499999996" bottom="0.78740157499999996" header="0.31496062000000002" footer="0.31496062000000002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16"/>
  <sheetViews>
    <sheetView view="pageBreakPreview" zoomScaleNormal="172" zoomScaleSheetLayoutView="100" workbookViewId="0">
      <selection activeCell="E8" sqref="E8"/>
    </sheetView>
  </sheetViews>
  <sheetFormatPr defaultRowHeight="12.75" x14ac:dyDescent="0.2"/>
  <cols>
    <col min="1" max="1" width="18.28515625" customWidth="1"/>
    <col min="2" max="2" width="92.28515625" bestFit="1" customWidth="1"/>
    <col min="4" max="4" width="15.28515625" customWidth="1"/>
    <col min="5" max="5" width="16.5703125" customWidth="1"/>
  </cols>
  <sheetData>
    <row r="1" spans="1:5" ht="16.5" thickBot="1" x14ac:dyDescent="0.3">
      <c r="A1" s="59" t="s">
        <v>115</v>
      </c>
      <c r="B1" s="59" t="s">
        <v>179</v>
      </c>
      <c r="C1" s="59" t="s">
        <v>116</v>
      </c>
      <c r="D1" s="59" t="s">
        <v>117</v>
      </c>
      <c r="E1" s="59" t="s">
        <v>163</v>
      </c>
    </row>
    <row r="2" spans="1:5" ht="16.5" thickBot="1" x14ac:dyDescent="0.25">
      <c r="A2" s="58" t="s">
        <v>129</v>
      </c>
      <c r="B2" s="60" t="s">
        <v>149</v>
      </c>
      <c r="C2" s="57">
        <v>36</v>
      </c>
      <c r="D2" s="56">
        <v>5.43</v>
      </c>
      <c r="E2" s="61">
        <f>C2*D2</f>
        <v>195.48</v>
      </c>
    </row>
    <row r="3" spans="1:5" ht="16.5" thickBot="1" x14ac:dyDescent="0.25">
      <c r="A3" s="57" t="s">
        <v>129</v>
      </c>
      <c r="B3" s="60" t="s">
        <v>151</v>
      </c>
      <c r="C3" s="57">
        <v>3</v>
      </c>
      <c r="D3" s="56">
        <v>34.450000000000003</v>
      </c>
      <c r="E3" s="61">
        <f t="shared" ref="E3:E4" si="0">C3*D3</f>
        <v>103.35000000000001</v>
      </c>
    </row>
    <row r="4" spans="1:5" ht="16.5" thickBot="1" x14ac:dyDescent="0.25">
      <c r="A4" s="57" t="s">
        <v>129</v>
      </c>
      <c r="B4" s="60" t="s">
        <v>153</v>
      </c>
      <c r="C4" s="57">
        <v>3</v>
      </c>
      <c r="D4" s="56">
        <v>20.45</v>
      </c>
      <c r="E4" s="61">
        <f t="shared" si="0"/>
        <v>61.349999999999994</v>
      </c>
    </row>
    <row r="5" spans="1:5" ht="16.5" thickBot="1" x14ac:dyDescent="0.3">
      <c r="A5" s="464" t="s">
        <v>177</v>
      </c>
      <c r="B5" s="465"/>
      <c r="C5" s="465"/>
      <c r="D5" s="466"/>
      <c r="E5" s="61">
        <f>SUM(E2,E3,E4)</f>
        <v>360.17999999999995</v>
      </c>
    </row>
    <row r="6" spans="1:5" ht="16.5" thickBot="1" x14ac:dyDescent="0.3">
      <c r="A6" s="464" t="s">
        <v>164</v>
      </c>
      <c r="B6" s="467"/>
      <c r="C6" s="467"/>
      <c r="D6" s="466"/>
      <c r="E6" s="62">
        <v>12</v>
      </c>
    </row>
    <row r="7" spans="1:5" ht="15.75" x14ac:dyDescent="0.25">
      <c r="A7" s="464" t="s">
        <v>157</v>
      </c>
      <c r="B7" s="467"/>
      <c r="C7" s="467"/>
      <c r="D7" s="466"/>
      <c r="E7" s="88">
        <v>4</v>
      </c>
    </row>
    <row r="8" spans="1:5" ht="15.75" x14ac:dyDescent="0.25">
      <c r="A8" s="461" t="s">
        <v>182</v>
      </c>
      <c r="B8" s="462"/>
      <c r="C8" s="462"/>
      <c r="D8" s="463"/>
      <c r="E8" s="63">
        <f>(E5/E7)/E6</f>
        <v>7.5037499999999993</v>
      </c>
    </row>
    <row r="9" spans="1:5" x14ac:dyDescent="0.2">
      <c r="A9" s="41"/>
      <c r="B9" s="41"/>
      <c r="C9" s="41"/>
      <c r="D9" s="42"/>
      <c r="E9" s="42"/>
    </row>
    <row r="10" spans="1:5" x14ac:dyDescent="0.2">
      <c r="A10" s="41"/>
      <c r="B10" s="5"/>
      <c r="C10" s="41"/>
      <c r="D10" s="42"/>
      <c r="E10" s="42"/>
    </row>
    <row r="11" spans="1:5" x14ac:dyDescent="0.2">
      <c r="A11" s="41"/>
      <c r="B11" s="41"/>
      <c r="C11" s="41"/>
      <c r="D11" s="42"/>
      <c r="E11" s="42"/>
    </row>
    <row r="12" spans="1:5" x14ac:dyDescent="0.2">
      <c r="A12" s="41"/>
      <c r="B12" s="41"/>
      <c r="C12" s="41"/>
      <c r="D12" s="42"/>
      <c r="E12" s="42"/>
    </row>
    <row r="13" spans="1:5" x14ac:dyDescent="0.2">
      <c r="A13" s="41"/>
      <c r="B13" s="41"/>
      <c r="C13" s="41"/>
      <c r="D13" s="42"/>
      <c r="E13" s="42"/>
    </row>
    <row r="14" spans="1:5" x14ac:dyDescent="0.2">
      <c r="A14" s="41"/>
      <c r="B14" s="41"/>
      <c r="C14" s="41"/>
      <c r="D14" s="42"/>
      <c r="E14" s="42"/>
    </row>
    <row r="15" spans="1:5" x14ac:dyDescent="0.2">
      <c r="A15" s="458"/>
      <c r="B15" s="459"/>
      <c r="C15" s="459"/>
      <c r="D15" s="460"/>
      <c r="E15" s="43"/>
    </row>
    <row r="16" spans="1:5" x14ac:dyDescent="0.2">
      <c r="E16" s="44"/>
    </row>
  </sheetData>
  <mergeCells count="5">
    <mergeCell ref="A15:D15"/>
    <mergeCell ref="A8:D8"/>
    <mergeCell ref="A5:D5"/>
    <mergeCell ref="A7:D7"/>
    <mergeCell ref="A6:D6"/>
  </mergeCells>
  <pageMargins left="0.511811024" right="0.511811024" top="0.78740157499999996" bottom="0.78740157499999996" header="0.31496062000000002" footer="0.31496062000000002"/>
  <pageSetup paperSize="9" scale="6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9"/>
  <sheetViews>
    <sheetView view="pageBreakPreview" zoomScaleNormal="100" zoomScaleSheetLayoutView="100" workbookViewId="0">
      <selection activeCell="F7" sqref="F7"/>
    </sheetView>
  </sheetViews>
  <sheetFormatPr defaultRowHeight="12.75" x14ac:dyDescent="0.2"/>
  <cols>
    <col min="1" max="1" width="10.5703125" customWidth="1"/>
    <col min="2" max="2" width="53.140625" bestFit="1" customWidth="1"/>
    <col min="3" max="3" width="10.5703125" customWidth="1"/>
    <col min="4" max="4" width="17.140625" customWidth="1"/>
    <col min="5" max="5" width="18.42578125" customWidth="1"/>
    <col min="6" max="6" width="19.5703125" customWidth="1"/>
  </cols>
  <sheetData>
    <row r="1" spans="1:6" ht="35.25" customHeight="1" thickBot="1" x14ac:dyDescent="0.25">
      <c r="A1" s="54" t="s">
        <v>115</v>
      </c>
      <c r="B1" s="54" t="s">
        <v>180</v>
      </c>
      <c r="C1" s="54" t="s">
        <v>116</v>
      </c>
      <c r="D1" s="54" t="s">
        <v>117</v>
      </c>
      <c r="E1" s="55" t="s">
        <v>118</v>
      </c>
      <c r="F1" s="54" t="s">
        <v>119</v>
      </c>
    </row>
    <row r="2" spans="1:6" ht="19.5" thickBot="1" x14ac:dyDescent="0.3">
      <c r="A2" s="76" t="s">
        <v>129</v>
      </c>
      <c r="B2" s="77" t="s">
        <v>148</v>
      </c>
      <c r="C2" s="76">
        <v>3</v>
      </c>
      <c r="D2" s="71">
        <v>2819.31</v>
      </c>
      <c r="E2" s="72">
        <v>120</v>
      </c>
      <c r="F2" s="73">
        <f>C2*D2*0.8/E2</f>
        <v>56.386200000000009</v>
      </c>
    </row>
    <row r="3" spans="1:6" ht="19.5" thickBot="1" x14ac:dyDescent="0.3">
      <c r="A3" s="69" t="s">
        <v>129</v>
      </c>
      <c r="B3" s="70" t="s">
        <v>150</v>
      </c>
      <c r="C3" s="69">
        <v>3</v>
      </c>
      <c r="D3" s="71">
        <v>490</v>
      </c>
      <c r="E3" s="72">
        <v>60</v>
      </c>
      <c r="F3" s="73">
        <f t="shared" ref="F3:F4" si="0">C3*D3*0.8/E3</f>
        <v>19.600000000000001</v>
      </c>
    </row>
    <row r="4" spans="1:6" ht="19.5" thickBot="1" x14ac:dyDescent="0.3">
      <c r="A4" s="69" t="s">
        <v>129</v>
      </c>
      <c r="B4" s="70" t="s">
        <v>152</v>
      </c>
      <c r="C4" s="69">
        <v>3</v>
      </c>
      <c r="D4" s="71">
        <v>34.39</v>
      </c>
      <c r="E4" s="72">
        <v>60</v>
      </c>
      <c r="F4" s="73">
        <f t="shared" si="0"/>
        <v>1.3755999999999999</v>
      </c>
    </row>
    <row r="5" spans="1:6" ht="18" x14ac:dyDescent="0.25">
      <c r="A5" s="468" t="s">
        <v>120</v>
      </c>
      <c r="B5" s="469"/>
      <c r="C5" s="469"/>
      <c r="D5" s="469"/>
      <c r="E5" s="470"/>
      <c r="F5" s="74">
        <f>SUM(F2:F4)</f>
        <v>77.361800000000017</v>
      </c>
    </row>
    <row r="6" spans="1:6" ht="18" x14ac:dyDescent="0.25">
      <c r="A6" s="468" t="s">
        <v>157</v>
      </c>
      <c r="B6" s="469"/>
      <c r="C6" s="469"/>
      <c r="D6" s="469"/>
      <c r="E6" s="470"/>
      <c r="F6" s="75">
        <v>4</v>
      </c>
    </row>
    <row r="7" spans="1:6" ht="18" x14ac:dyDescent="0.25">
      <c r="A7" s="468" t="s">
        <v>181</v>
      </c>
      <c r="B7" s="469"/>
      <c r="C7" s="469"/>
      <c r="D7" s="469"/>
      <c r="E7" s="470"/>
      <c r="F7" s="74">
        <f>F5/F6</f>
        <v>19.340450000000004</v>
      </c>
    </row>
    <row r="8" spans="1:6" x14ac:dyDescent="0.2">
      <c r="D8" s="45"/>
    </row>
    <row r="9" spans="1:6" x14ac:dyDescent="0.2">
      <c r="B9" s="5"/>
    </row>
  </sheetData>
  <sortState xmlns:xlrd2="http://schemas.microsoft.com/office/spreadsheetml/2017/richdata2" ref="A2:F26">
    <sortCondition ref="B2:B26"/>
  </sortState>
  <mergeCells count="3">
    <mergeCell ref="A5:E5"/>
    <mergeCell ref="A6:E6"/>
    <mergeCell ref="A7:E7"/>
  </mergeCells>
  <pageMargins left="0.511811024" right="0.511811024" top="0.78740157499999996" bottom="0.78740157499999996" header="0.31496062000000002" footer="0.31496062000000002"/>
  <pageSetup paperSize="9" scale="7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39997558519241921"/>
    <pageSetUpPr fitToPage="1"/>
  </sheetPr>
  <dimension ref="A1:I142"/>
  <sheetViews>
    <sheetView view="pageBreakPreview" zoomScale="120" zoomScaleNormal="130" zoomScaleSheetLayoutView="120" workbookViewId="0">
      <selection activeCell="D13" sqref="D13:F13"/>
    </sheetView>
  </sheetViews>
  <sheetFormatPr defaultColWidth="11.42578125" defaultRowHeight="12" x14ac:dyDescent="0.2"/>
  <cols>
    <col min="1" max="1" width="4.42578125" style="156" customWidth="1"/>
    <col min="2" max="2" width="5.140625" style="156" customWidth="1"/>
    <col min="3" max="3" width="50.140625" style="156" customWidth="1"/>
    <col min="4" max="4" width="15.5703125" style="156" customWidth="1"/>
    <col min="5" max="6" width="15.7109375" style="156" customWidth="1"/>
    <col min="7" max="7" width="20.5703125" style="155" customWidth="1"/>
    <col min="8" max="16384" width="11.42578125" style="156"/>
  </cols>
  <sheetData>
    <row r="1" spans="1:7" s="155" customFormat="1" x14ac:dyDescent="0.2">
      <c r="A1" s="155" t="s">
        <v>121</v>
      </c>
      <c r="B1" s="156"/>
      <c r="C1" s="596" t="s">
        <v>10</v>
      </c>
      <c r="D1" s="487"/>
      <c r="E1" s="487"/>
      <c r="F1" s="487"/>
    </row>
    <row r="2" spans="1:7" s="155" customFormat="1" ht="24.75" thickBot="1" x14ac:dyDescent="0.25">
      <c r="B2" s="156"/>
      <c r="C2" s="157" t="s">
        <v>11</v>
      </c>
      <c r="D2" s="260"/>
      <c r="E2" s="260"/>
      <c r="F2" s="260"/>
    </row>
    <row r="3" spans="1:7" s="155" customFormat="1" x14ac:dyDescent="0.2">
      <c r="B3" s="156"/>
      <c r="C3" s="158" t="s">
        <v>12</v>
      </c>
      <c r="D3" s="597" t="s">
        <v>155</v>
      </c>
      <c r="E3" s="598"/>
      <c r="F3" s="599"/>
    </row>
    <row r="4" spans="1:7" s="155" customFormat="1" x14ac:dyDescent="0.2">
      <c r="B4" s="156"/>
      <c r="C4" s="159" t="s">
        <v>13</v>
      </c>
      <c r="D4" s="600">
        <v>15</v>
      </c>
      <c r="E4" s="601"/>
      <c r="F4" s="602"/>
    </row>
    <row r="5" spans="1:7" s="155" customFormat="1" x14ac:dyDescent="0.2">
      <c r="B5" s="156"/>
      <c r="C5" s="159" t="s">
        <v>14</v>
      </c>
      <c r="D5" s="603" t="s">
        <v>247</v>
      </c>
      <c r="E5" s="604"/>
      <c r="F5" s="605"/>
    </row>
    <row r="6" spans="1:7" s="155" customFormat="1" x14ac:dyDescent="0.2">
      <c r="B6" s="156"/>
      <c r="C6" s="160" t="s">
        <v>15</v>
      </c>
      <c r="D6" s="473">
        <v>1727.26</v>
      </c>
      <c r="E6" s="604"/>
      <c r="F6" s="605"/>
      <c r="G6" s="404">
        <f>D6*6.47%+D6</f>
        <v>1839.0137219999999</v>
      </c>
    </row>
    <row r="7" spans="1:7" s="155" customFormat="1" x14ac:dyDescent="0.2">
      <c r="B7" s="156"/>
      <c r="C7" s="160" t="s">
        <v>16</v>
      </c>
      <c r="D7" s="600" t="s">
        <v>154</v>
      </c>
      <c r="E7" s="601"/>
      <c r="F7" s="602"/>
    </row>
    <row r="8" spans="1:7" s="155" customFormat="1" ht="12.75" thickBot="1" x14ac:dyDescent="0.25">
      <c r="B8" s="156"/>
      <c r="C8" s="161" t="s">
        <v>17</v>
      </c>
      <c r="D8" s="606">
        <v>44986</v>
      </c>
      <c r="E8" s="607"/>
      <c r="F8" s="608"/>
    </row>
    <row r="9" spans="1:7" s="155" customFormat="1" x14ac:dyDescent="0.2">
      <c r="B9" s="156"/>
      <c r="C9" s="156"/>
      <c r="D9" s="162"/>
    </row>
    <row r="10" spans="1:7" s="155" customFormat="1" ht="12.75" thickBot="1" x14ac:dyDescent="0.25">
      <c r="B10" s="156"/>
      <c r="C10" s="156"/>
    </row>
    <row r="11" spans="1:7" s="155" customFormat="1" x14ac:dyDescent="0.2">
      <c r="B11" s="163"/>
      <c r="C11" s="609" t="s">
        <v>18</v>
      </c>
      <c r="D11" s="609"/>
      <c r="E11" s="609"/>
      <c r="F11" s="610"/>
    </row>
    <row r="12" spans="1:7" s="155" customFormat="1" x14ac:dyDescent="0.2">
      <c r="B12" s="164">
        <v>1</v>
      </c>
      <c r="C12" s="165" t="s">
        <v>19</v>
      </c>
      <c r="D12" s="611" t="s">
        <v>20</v>
      </c>
      <c r="E12" s="611"/>
      <c r="F12" s="612"/>
    </row>
    <row r="13" spans="1:7" s="155" customFormat="1" x14ac:dyDescent="0.2">
      <c r="B13" s="166" t="s">
        <v>2</v>
      </c>
      <c r="C13" s="167" t="s">
        <v>21</v>
      </c>
      <c r="D13" s="613">
        <f>D6</f>
        <v>1727.26</v>
      </c>
      <c r="E13" s="614"/>
      <c r="F13" s="615"/>
    </row>
    <row r="14" spans="1:7" s="155" customFormat="1" x14ac:dyDescent="0.2">
      <c r="B14" s="166" t="s">
        <v>4</v>
      </c>
      <c r="C14" s="167" t="s">
        <v>22</v>
      </c>
      <c r="D14" s="616">
        <f>D13*0.3</f>
        <v>518.178</v>
      </c>
      <c r="E14" s="617"/>
      <c r="F14" s="618"/>
    </row>
    <row r="15" spans="1:7" x14ac:dyDescent="0.2">
      <c r="B15" s="166" t="s">
        <v>6</v>
      </c>
      <c r="C15" s="167" t="s">
        <v>23</v>
      </c>
      <c r="D15" s="616"/>
      <c r="E15" s="617"/>
      <c r="F15" s="618"/>
    </row>
    <row r="16" spans="1:7" x14ac:dyDescent="0.2">
      <c r="B16" s="166" t="s">
        <v>8</v>
      </c>
      <c r="C16" s="168" t="s">
        <v>24</v>
      </c>
      <c r="D16" s="558"/>
      <c r="E16" s="559"/>
      <c r="F16" s="560"/>
    </row>
    <row r="17" spans="2:7" x14ac:dyDescent="0.2">
      <c r="B17" s="166" t="s">
        <v>25</v>
      </c>
      <c r="C17" s="168" t="s">
        <v>26</v>
      </c>
      <c r="D17" s="558"/>
      <c r="E17" s="559"/>
      <c r="F17" s="560"/>
    </row>
    <row r="18" spans="2:7" x14ac:dyDescent="0.2">
      <c r="B18" s="166" t="s">
        <v>27</v>
      </c>
      <c r="C18" s="168" t="s">
        <v>28</v>
      </c>
      <c r="D18" s="558"/>
      <c r="E18" s="559"/>
      <c r="F18" s="560"/>
    </row>
    <row r="19" spans="2:7" x14ac:dyDescent="0.2">
      <c r="B19" s="166" t="s">
        <v>29</v>
      </c>
      <c r="C19" s="156" t="s">
        <v>30</v>
      </c>
    </row>
    <row r="20" spans="2:7" ht="12.75" thickBot="1" x14ac:dyDescent="0.25">
      <c r="B20" s="169"/>
      <c r="C20" s="170" t="s">
        <v>31</v>
      </c>
      <c r="D20" s="619">
        <f>SUM(D13:D19)</f>
        <v>2245.4380000000001</v>
      </c>
      <c r="E20" s="620"/>
      <c r="F20" s="621"/>
    </row>
    <row r="21" spans="2:7" ht="12.75" thickBot="1" x14ac:dyDescent="0.25">
      <c r="C21" s="622"/>
      <c r="D21" s="622"/>
      <c r="E21" s="622"/>
      <c r="F21" s="622"/>
    </row>
    <row r="22" spans="2:7" ht="12.75" thickBot="1" x14ac:dyDescent="0.25">
      <c r="B22" s="171"/>
      <c r="C22" s="561" t="s">
        <v>32</v>
      </c>
      <c r="D22" s="562"/>
      <c r="E22" s="562"/>
      <c r="F22" s="563"/>
    </row>
    <row r="23" spans="2:7" ht="12.75" thickBot="1" x14ac:dyDescent="0.25">
      <c r="B23" s="172"/>
      <c r="C23" s="564" t="s">
        <v>33</v>
      </c>
      <c r="D23" s="565"/>
      <c r="E23" s="565"/>
      <c r="F23" s="566"/>
    </row>
    <row r="24" spans="2:7" ht="12.75" thickBot="1" x14ac:dyDescent="0.25">
      <c r="B24" s="173" t="s">
        <v>34</v>
      </c>
      <c r="C24" s="174" t="s">
        <v>35</v>
      </c>
      <c r="D24" s="567" t="s">
        <v>36</v>
      </c>
      <c r="E24" s="567"/>
      <c r="F24" s="568"/>
    </row>
    <row r="25" spans="2:7" x14ac:dyDescent="0.2">
      <c r="B25" s="175" t="s">
        <v>2</v>
      </c>
      <c r="C25" s="176" t="s">
        <v>236</v>
      </c>
      <c r="D25" s="569">
        <f>$D$20*8.33%</f>
        <v>187.0449854</v>
      </c>
      <c r="E25" s="569"/>
      <c r="F25" s="570"/>
      <c r="G25" s="177">
        <v>8.3299999999999999E-2</v>
      </c>
    </row>
    <row r="26" spans="2:7" ht="12.75" thickBot="1" x14ac:dyDescent="0.25">
      <c r="B26" s="178" t="s">
        <v>4</v>
      </c>
      <c r="C26" s="179" t="s">
        <v>237</v>
      </c>
      <c r="D26" s="571">
        <f>$D$20*11.11%</f>
        <v>249.46816179999999</v>
      </c>
      <c r="E26" s="571"/>
      <c r="F26" s="572"/>
      <c r="G26" s="177">
        <v>0.1111</v>
      </c>
    </row>
    <row r="27" spans="2:7" ht="12.75" thickBot="1" x14ac:dyDescent="0.25">
      <c r="B27" s="180"/>
      <c r="C27" s="174" t="s">
        <v>185</v>
      </c>
      <c r="D27" s="573">
        <f>SUM(D25:F26)</f>
        <v>436.51314719999999</v>
      </c>
      <c r="E27" s="573"/>
      <c r="F27" s="574"/>
      <c r="G27" s="177"/>
    </row>
    <row r="28" spans="2:7" ht="24.75" thickBot="1" x14ac:dyDescent="0.25">
      <c r="B28" s="181"/>
      <c r="C28" s="182" t="s">
        <v>238</v>
      </c>
      <c r="D28" s="575">
        <f>D40*(D25+D26)/100</f>
        <v>167.27620313851199</v>
      </c>
      <c r="E28" s="576"/>
      <c r="F28" s="577"/>
      <c r="G28" s="177">
        <f>(G25+G26)*G40</f>
        <v>7.4494080000000018E-2</v>
      </c>
    </row>
    <row r="29" spans="2:7" ht="12.75" thickBot="1" x14ac:dyDescent="0.25">
      <c r="C29" s="183" t="s">
        <v>53</v>
      </c>
      <c r="D29" s="575">
        <f>SUM(D27,D28)</f>
        <v>603.78935033851201</v>
      </c>
      <c r="E29" s="578"/>
      <c r="F29" s="578"/>
      <c r="G29" s="184">
        <f>G25+G26+G28</f>
        <v>0.26889408000000004</v>
      </c>
    </row>
    <row r="30" spans="2:7" ht="12.75" thickBot="1" x14ac:dyDescent="0.25">
      <c r="B30" s="185"/>
      <c r="C30" s="529" t="s">
        <v>40</v>
      </c>
      <c r="D30" s="530"/>
      <c r="E30" s="530"/>
      <c r="F30" s="531"/>
    </row>
    <row r="31" spans="2:7" ht="12.75" thickBot="1" x14ac:dyDescent="0.25">
      <c r="B31" s="186" t="s">
        <v>41</v>
      </c>
      <c r="C31" s="187" t="s">
        <v>42</v>
      </c>
      <c r="D31" s="188" t="s">
        <v>43</v>
      </c>
      <c r="E31" s="488" t="s">
        <v>20</v>
      </c>
      <c r="F31" s="490"/>
    </row>
    <row r="32" spans="2:7" x14ac:dyDescent="0.2">
      <c r="B32" s="189" t="s">
        <v>2</v>
      </c>
      <c r="C32" s="190" t="s">
        <v>44</v>
      </c>
      <c r="D32" s="263">
        <v>20</v>
      </c>
      <c r="E32" s="501">
        <f>($D$20+D27)*(D32/100)</f>
        <v>536.39022943999998</v>
      </c>
      <c r="F32" s="502"/>
      <c r="G32" s="177">
        <v>0.2</v>
      </c>
    </row>
    <row r="33" spans="2:7" x14ac:dyDescent="0.2">
      <c r="B33" s="189" t="s">
        <v>4</v>
      </c>
      <c r="C33" s="191" t="s">
        <v>45</v>
      </c>
      <c r="D33" s="261">
        <v>2.5</v>
      </c>
      <c r="E33" s="493">
        <f>($D$20+D27)*(D33/100)</f>
        <v>67.048778679999998</v>
      </c>
      <c r="F33" s="494"/>
      <c r="G33" s="177">
        <v>2.5000000000000001E-2</v>
      </c>
    </row>
    <row r="34" spans="2:7" x14ac:dyDescent="0.2">
      <c r="B34" s="189" t="s">
        <v>6</v>
      </c>
      <c r="C34" s="191" t="s">
        <v>46</v>
      </c>
      <c r="D34" s="192">
        <f>3*1.507</f>
        <v>4.5209999999999999</v>
      </c>
      <c r="E34" s="493">
        <f>($D$20+D27)*(D34/100)</f>
        <v>121.251011364912</v>
      </c>
      <c r="F34" s="494"/>
      <c r="G34" s="177">
        <v>4.5199999999999997E-2</v>
      </c>
    </row>
    <row r="35" spans="2:7" x14ac:dyDescent="0.2">
      <c r="B35" s="189" t="s">
        <v>8</v>
      </c>
      <c r="C35" s="191" t="s">
        <v>47</v>
      </c>
      <c r="D35" s="261">
        <v>1.5</v>
      </c>
      <c r="E35" s="493">
        <f>($D$20+D27)*(D35/100)</f>
        <v>40.229267207999996</v>
      </c>
      <c r="F35" s="494"/>
      <c r="G35" s="177">
        <v>1.4999999999999999E-2</v>
      </c>
    </row>
    <row r="36" spans="2:7" x14ac:dyDescent="0.2">
      <c r="B36" s="189" t="s">
        <v>25</v>
      </c>
      <c r="C36" s="191" t="s">
        <v>48</v>
      </c>
      <c r="D36" s="261">
        <v>1</v>
      </c>
      <c r="E36" s="493">
        <f>($D$20+D27)*(D36/100)</f>
        <v>26.819511471999999</v>
      </c>
      <c r="F36" s="494"/>
      <c r="G36" s="177">
        <v>0.01</v>
      </c>
    </row>
    <row r="37" spans="2:7" x14ac:dyDescent="0.2">
      <c r="B37" s="189" t="s">
        <v>27</v>
      </c>
      <c r="C37" s="191" t="s">
        <v>49</v>
      </c>
      <c r="D37" s="261">
        <v>0.6</v>
      </c>
      <c r="E37" s="493">
        <f>($D$20+D27)*(D37/100)</f>
        <v>16.091706883200001</v>
      </c>
      <c r="F37" s="494"/>
      <c r="G37" s="177">
        <v>6.0000000000000001E-3</v>
      </c>
    </row>
    <row r="38" spans="2:7" x14ac:dyDescent="0.2">
      <c r="B38" s="189" t="s">
        <v>29</v>
      </c>
      <c r="C38" s="191" t="s">
        <v>50</v>
      </c>
      <c r="D38" s="261">
        <v>0.2</v>
      </c>
      <c r="E38" s="493">
        <f>($D$20+D27)*(D38/100)</f>
        <v>5.3639022943999999</v>
      </c>
      <c r="F38" s="494"/>
      <c r="G38" s="177">
        <v>2E-3</v>
      </c>
    </row>
    <row r="39" spans="2:7" x14ac:dyDescent="0.2">
      <c r="B39" s="189" t="s">
        <v>51</v>
      </c>
      <c r="C39" s="191" t="s">
        <v>52</v>
      </c>
      <c r="D39" s="261">
        <v>8</v>
      </c>
      <c r="E39" s="493">
        <f>($D$20+D27)*(D39/100)</f>
        <v>214.55609177599999</v>
      </c>
      <c r="F39" s="494"/>
      <c r="G39" s="177">
        <v>0.08</v>
      </c>
    </row>
    <row r="40" spans="2:7" ht="12.75" thickBot="1" x14ac:dyDescent="0.25">
      <c r="B40" s="193"/>
      <c r="C40" s="194" t="s">
        <v>53</v>
      </c>
      <c r="D40" s="195">
        <f>SUM(D32:D39)</f>
        <v>38.320999999999998</v>
      </c>
      <c r="E40" s="485">
        <f>SUM(E32:F39)</f>
        <v>1027.7504991185119</v>
      </c>
      <c r="F40" s="581"/>
      <c r="G40" s="177">
        <f>SUM(G32:G39)</f>
        <v>0.38320000000000004</v>
      </c>
    </row>
    <row r="41" spans="2:7" x14ac:dyDescent="0.2">
      <c r="C41" s="196"/>
      <c r="D41" s="197">
        <v>0.38319999999999999</v>
      </c>
      <c r="G41" s="177"/>
    </row>
    <row r="42" spans="2:7" ht="12.75" thickBot="1" x14ac:dyDescent="0.25">
      <c r="C42" s="196"/>
    </row>
    <row r="43" spans="2:7" ht="12.75" thickBot="1" x14ac:dyDescent="0.25">
      <c r="B43" s="171"/>
      <c r="C43" s="582" t="s">
        <v>54</v>
      </c>
      <c r="D43" s="583"/>
      <c r="E43" s="583"/>
      <c r="F43" s="584"/>
    </row>
    <row r="44" spans="2:7" ht="12.75" thickBot="1" x14ac:dyDescent="0.25">
      <c r="B44" s="186" t="s">
        <v>55</v>
      </c>
      <c r="C44" s="198" t="s">
        <v>56</v>
      </c>
      <c r="D44" s="551" t="s">
        <v>20</v>
      </c>
      <c r="E44" s="551"/>
      <c r="F44" s="552"/>
    </row>
    <row r="45" spans="2:7" x14ac:dyDescent="0.2">
      <c r="B45" s="189" t="s">
        <v>2</v>
      </c>
      <c r="C45" s="199" t="s">
        <v>57</v>
      </c>
      <c r="D45" s="553">
        <f>4.5*2*D4-(D13*0.06)</f>
        <v>31.364400000000003</v>
      </c>
      <c r="E45" s="554"/>
      <c r="F45" s="555"/>
    </row>
    <row r="46" spans="2:7" x14ac:dyDescent="0.2">
      <c r="B46" s="189" t="s">
        <v>4</v>
      </c>
      <c r="C46" s="200" t="s">
        <v>58</v>
      </c>
      <c r="D46" s="495">
        <v>553.54</v>
      </c>
      <c r="E46" s="495"/>
      <c r="F46" s="496"/>
    </row>
    <row r="47" spans="2:7" x14ac:dyDescent="0.2">
      <c r="B47" s="189" t="s">
        <v>6</v>
      </c>
      <c r="C47" s="200" t="s">
        <v>59</v>
      </c>
      <c r="D47" s="556">
        <v>0</v>
      </c>
      <c r="E47" s="556"/>
      <c r="F47" s="557"/>
    </row>
    <row r="48" spans="2:7" x14ac:dyDescent="0.2">
      <c r="B48" s="189" t="s">
        <v>8</v>
      </c>
      <c r="C48" s="200" t="s">
        <v>60</v>
      </c>
      <c r="D48" s="495">
        <v>0</v>
      </c>
      <c r="E48" s="495"/>
      <c r="F48" s="496"/>
    </row>
    <row r="49" spans="2:7" x14ac:dyDescent="0.2">
      <c r="B49" s="189" t="s">
        <v>25</v>
      </c>
      <c r="C49" s="200" t="s">
        <v>61</v>
      </c>
      <c r="D49" s="495">
        <v>54.97</v>
      </c>
      <c r="E49" s="495"/>
      <c r="F49" s="496"/>
    </row>
    <row r="50" spans="2:7" x14ac:dyDescent="0.2">
      <c r="B50" s="189" t="s">
        <v>27</v>
      </c>
      <c r="C50" s="201" t="s">
        <v>62</v>
      </c>
      <c r="D50" s="495">
        <v>12.71</v>
      </c>
      <c r="E50" s="495"/>
      <c r="F50" s="496"/>
    </row>
    <row r="51" spans="2:7" x14ac:dyDescent="0.2">
      <c r="B51" s="189" t="s">
        <v>29</v>
      </c>
      <c r="C51" s="202" t="s">
        <v>156</v>
      </c>
      <c r="D51" s="558">
        <f>(D20)/220*1.5*15</f>
        <v>229.64706818181818</v>
      </c>
      <c r="E51" s="559"/>
      <c r="F51" s="560"/>
    </row>
    <row r="52" spans="2:7" ht="12.75" thickBot="1" x14ac:dyDescent="0.25">
      <c r="B52" s="193"/>
      <c r="C52" s="203" t="s">
        <v>63</v>
      </c>
      <c r="D52" s="579">
        <f>SUM(D45:F51)</f>
        <v>882.23146818181829</v>
      </c>
      <c r="E52" s="579"/>
      <c r="F52" s="580"/>
    </row>
    <row r="53" spans="2:7" ht="12.75" thickBot="1" x14ac:dyDescent="0.25">
      <c r="C53" s="204"/>
      <c r="D53" s="205"/>
      <c r="E53" s="205"/>
      <c r="F53" s="205"/>
    </row>
    <row r="54" spans="2:7" ht="12.75" thickBot="1" x14ac:dyDescent="0.25">
      <c r="B54" s="206"/>
      <c r="C54" s="529" t="s">
        <v>64</v>
      </c>
      <c r="D54" s="530"/>
      <c r="E54" s="530"/>
      <c r="F54" s="531"/>
    </row>
    <row r="55" spans="2:7" ht="12.75" thickBot="1" x14ac:dyDescent="0.25">
      <c r="B55" s="207">
        <v>2</v>
      </c>
      <c r="C55" s="208" t="s">
        <v>65</v>
      </c>
      <c r="D55" s="532" t="s">
        <v>36</v>
      </c>
      <c r="E55" s="532"/>
      <c r="F55" s="533"/>
    </row>
    <row r="56" spans="2:7" x14ac:dyDescent="0.2">
      <c r="B56" s="209" t="s">
        <v>34</v>
      </c>
      <c r="C56" s="210" t="s">
        <v>186</v>
      </c>
      <c r="D56" s="503">
        <f>D29</f>
        <v>603.78935033851201</v>
      </c>
      <c r="E56" s="504"/>
      <c r="F56" s="505"/>
      <c r="G56" s="184">
        <f>G28+G25+G26</f>
        <v>0.26889408000000004</v>
      </c>
    </row>
    <row r="57" spans="2:7" x14ac:dyDescent="0.2">
      <c r="B57" s="211" t="s">
        <v>41</v>
      </c>
      <c r="C57" s="212" t="s">
        <v>42</v>
      </c>
      <c r="D57" s="506">
        <f>E40</f>
        <v>1027.7504991185119</v>
      </c>
      <c r="E57" s="507"/>
      <c r="F57" s="508"/>
      <c r="G57" s="184">
        <f>G40</f>
        <v>0.38320000000000004</v>
      </c>
    </row>
    <row r="58" spans="2:7" ht="12.75" thickBot="1" x14ac:dyDescent="0.25">
      <c r="B58" s="213" t="s">
        <v>55</v>
      </c>
      <c r="C58" s="214" t="s">
        <v>56</v>
      </c>
      <c r="D58" s="540">
        <f>D52</f>
        <v>882.23146818181829</v>
      </c>
      <c r="E58" s="541"/>
      <c r="F58" s="542"/>
    </row>
    <row r="59" spans="2:7" ht="12.75" thickBot="1" x14ac:dyDescent="0.25">
      <c r="B59" s="206"/>
      <c r="C59" s="215" t="s">
        <v>39</v>
      </c>
      <c r="D59" s="543">
        <f>SUM(D56:F58)</f>
        <v>2513.7713176388424</v>
      </c>
      <c r="E59" s="509"/>
      <c r="F59" s="510"/>
    </row>
    <row r="60" spans="2:7" ht="12.75" thickBot="1" x14ac:dyDescent="0.25">
      <c r="C60" s="204"/>
      <c r="D60" s="205"/>
      <c r="E60" s="205"/>
      <c r="F60" s="205"/>
    </row>
    <row r="61" spans="2:7" ht="12.75" thickBot="1" x14ac:dyDescent="0.25">
      <c r="B61" s="163"/>
      <c r="C61" s="544" t="s">
        <v>66</v>
      </c>
      <c r="D61" s="536"/>
      <c r="E61" s="536"/>
      <c r="F61" s="537"/>
    </row>
    <row r="62" spans="2:7" ht="12.75" thickBot="1" x14ac:dyDescent="0.25">
      <c r="B62" s="164">
        <v>3</v>
      </c>
      <c r="C62" s="216" t="s">
        <v>67</v>
      </c>
      <c r="D62" s="545" t="s">
        <v>20</v>
      </c>
      <c r="E62" s="546"/>
      <c r="F62" s="547"/>
    </row>
    <row r="63" spans="2:7" x14ac:dyDescent="0.2">
      <c r="B63" s="166" t="s">
        <v>2</v>
      </c>
      <c r="C63" s="217" t="s">
        <v>68</v>
      </c>
      <c r="D63" s="548">
        <f>D20*0.417%</f>
        <v>9.3634764600000011</v>
      </c>
      <c r="E63" s="549"/>
      <c r="F63" s="550"/>
      <c r="G63" s="218">
        <v>4.1200000000000004E-3</v>
      </c>
    </row>
    <row r="64" spans="2:7" x14ac:dyDescent="0.2">
      <c r="B64" s="166" t="s">
        <v>4</v>
      </c>
      <c r="C64" s="219" t="s">
        <v>69</v>
      </c>
      <c r="D64" s="493">
        <f>D63*(D39/100)</f>
        <v>0.74907811680000014</v>
      </c>
      <c r="E64" s="493"/>
      <c r="F64" s="494"/>
      <c r="G64" s="218">
        <f>(G63*G39)</f>
        <v>3.2960000000000004E-4</v>
      </c>
    </row>
    <row r="65" spans="2:9" x14ac:dyDescent="0.2">
      <c r="B65" s="166" t="s">
        <v>6</v>
      </c>
      <c r="C65" s="219" t="s">
        <v>70</v>
      </c>
      <c r="D65" s="493">
        <f>$D$20*(0.032)</f>
        <v>71.854016000000001</v>
      </c>
      <c r="E65" s="493"/>
      <c r="F65" s="494"/>
      <c r="G65" s="218">
        <v>3.2000000000000002E-3</v>
      </c>
    </row>
    <row r="66" spans="2:9" x14ac:dyDescent="0.2">
      <c r="B66" s="166" t="s">
        <v>8</v>
      </c>
      <c r="C66" s="219" t="s">
        <v>71</v>
      </c>
      <c r="D66" s="493">
        <f>D20*1.944%</f>
        <v>43.651314720000002</v>
      </c>
      <c r="E66" s="493"/>
      <c r="F66" s="494"/>
      <c r="G66" s="218">
        <v>1.9439999999999999E-2</v>
      </c>
    </row>
    <row r="67" spans="2:9" ht="24" x14ac:dyDescent="0.2">
      <c r="B67" s="166" t="s">
        <v>25</v>
      </c>
      <c r="C67" s="219" t="s">
        <v>72</v>
      </c>
      <c r="D67" s="493">
        <f>D66*(D40/100)</f>
        <v>16.727620313851201</v>
      </c>
      <c r="E67" s="493"/>
      <c r="F67" s="494"/>
      <c r="G67" s="218">
        <f>(G66*G57)</f>
        <v>7.4494080000000002E-3</v>
      </c>
    </row>
    <row r="68" spans="2:9" x14ac:dyDescent="0.2">
      <c r="B68" s="166" t="s">
        <v>27</v>
      </c>
      <c r="C68" s="219" t="s">
        <v>73</v>
      </c>
      <c r="D68" s="493">
        <f>$D$20*(0.008)</f>
        <v>17.963504</v>
      </c>
      <c r="E68" s="493"/>
      <c r="F68" s="494"/>
      <c r="G68" s="218">
        <v>8.0000000000000002E-3</v>
      </c>
    </row>
    <row r="69" spans="2:9" ht="12.75" thickBot="1" x14ac:dyDescent="0.25">
      <c r="B69" s="169"/>
      <c r="C69" s="220" t="s">
        <v>53</v>
      </c>
      <c r="D69" s="485">
        <f>SUM(D63:F68)</f>
        <v>160.3090096106512</v>
      </c>
      <c r="E69" s="534"/>
      <c r="F69" s="486"/>
      <c r="G69" s="218">
        <f>SUM(G63:G68)</f>
        <v>4.2539007999999996E-2</v>
      </c>
    </row>
    <row r="70" spans="2:9" ht="12.75" thickBot="1" x14ac:dyDescent="0.25"/>
    <row r="71" spans="2:9" ht="12.75" thickBot="1" x14ac:dyDescent="0.25">
      <c r="B71" s="221"/>
      <c r="C71" s="535" t="s">
        <v>74</v>
      </c>
      <c r="D71" s="536"/>
      <c r="E71" s="536"/>
      <c r="F71" s="537"/>
    </row>
    <row r="72" spans="2:9" ht="12.75" thickBot="1" x14ac:dyDescent="0.25">
      <c r="B72" s="222"/>
      <c r="C72" s="538" t="s">
        <v>75</v>
      </c>
      <c r="D72" s="538"/>
      <c r="E72" s="538"/>
      <c r="F72" s="539"/>
      <c r="G72" s="218"/>
      <c r="H72" s="223"/>
    </row>
    <row r="73" spans="2:9" x14ac:dyDescent="0.2">
      <c r="B73" s="224" t="s">
        <v>76</v>
      </c>
      <c r="C73" s="216" t="s">
        <v>77</v>
      </c>
      <c r="D73" s="488" t="s">
        <v>20</v>
      </c>
      <c r="E73" s="489"/>
      <c r="F73" s="490"/>
      <c r="G73" s="218"/>
      <c r="H73" s="223"/>
    </row>
    <row r="74" spans="2:9" x14ac:dyDescent="0.2">
      <c r="B74" s="166" t="s">
        <v>2</v>
      </c>
      <c r="C74" s="219" t="s">
        <v>239</v>
      </c>
      <c r="D74" s="493">
        <f>D20*1.62%</f>
        <v>36.376095600000006</v>
      </c>
      <c r="E74" s="493"/>
      <c r="F74" s="494"/>
      <c r="G74" s="218">
        <v>1.6199999999999999E-2</v>
      </c>
      <c r="H74" s="223"/>
    </row>
    <row r="75" spans="2:9" x14ac:dyDescent="0.2">
      <c r="B75" s="166" t="s">
        <v>4</v>
      </c>
      <c r="C75" s="219" t="s">
        <v>77</v>
      </c>
      <c r="D75" s="493">
        <f>(D20)*0.82%</f>
        <v>18.412591599999999</v>
      </c>
      <c r="E75" s="493"/>
      <c r="F75" s="494"/>
      <c r="G75" s="218">
        <v>8.2000000000000007E-3</v>
      </c>
      <c r="H75" s="223"/>
    </row>
    <row r="76" spans="2:9" x14ac:dyDescent="0.2">
      <c r="B76" s="166" t="s">
        <v>6</v>
      </c>
      <c r="C76" s="219" t="s">
        <v>79</v>
      </c>
      <c r="D76" s="493">
        <f>(D20)*0.02%</f>
        <v>0.44908760000000003</v>
      </c>
      <c r="E76" s="493"/>
      <c r="F76" s="494"/>
      <c r="G76" s="218">
        <v>2.0000000000000001E-4</v>
      </c>
      <c r="H76" s="223"/>
    </row>
    <row r="77" spans="2:9" x14ac:dyDescent="0.2">
      <c r="B77" s="166" t="s">
        <v>8</v>
      </c>
      <c r="C77" s="219" t="s">
        <v>80</v>
      </c>
      <c r="D77" s="493">
        <f>(D20)*0.03%</f>
        <v>0.67363139999999999</v>
      </c>
      <c r="E77" s="493"/>
      <c r="F77" s="494"/>
      <c r="G77" s="218">
        <v>2.9999999999999997E-4</v>
      </c>
      <c r="H77" s="223"/>
    </row>
    <row r="78" spans="2:9" x14ac:dyDescent="0.2">
      <c r="B78" s="166" t="s">
        <v>25</v>
      </c>
      <c r="C78" s="219" t="s">
        <v>81</v>
      </c>
      <c r="D78" s="493">
        <f>((D74+D25+D26))*4*0.9*(0.0624/12)</f>
        <v>8.8524866252160006</v>
      </c>
      <c r="E78" s="493"/>
      <c r="F78" s="494"/>
      <c r="G78" s="218">
        <v>1.8800000000000001E-2</v>
      </c>
      <c r="H78" s="223"/>
    </row>
    <row r="79" spans="2:9" x14ac:dyDescent="0.2">
      <c r="B79" s="166" t="s">
        <v>27</v>
      </c>
      <c r="C79" s="219" t="s">
        <v>82</v>
      </c>
      <c r="D79" s="493">
        <f>(D20)*1.66%</f>
        <v>37.274270800000004</v>
      </c>
      <c r="E79" s="493"/>
      <c r="F79" s="494"/>
      <c r="G79" s="218">
        <v>1.66E-2</v>
      </c>
      <c r="H79" s="223"/>
    </row>
    <row r="80" spans="2:9" x14ac:dyDescent="0.2">
      <c r="B80" s="166" t="s">
        <v>29</v>
      </c>
      <c r="C80" s="219" t="s">
        <v>30</v>
      </c>
      <c r="D80" s="493">
        <v>0</v>
      </c>
      <c r="E80" s="493"/>
      <c r="F80" s="494"/>
      <c r="G80" s="218">
        <f>SUM(G74:G79)</f>
        <v>6.0300000000000006E-2</v>
      </c>
      <c r="H80" s="223">
        <f>G80*D41</f>
        <v>2.3106960000000003E-2</v>
      </c>
      <c r="I80" s="225">
        <f>H80+G80</f>
        <v>8.3406960000000002E-2</v>
      </c>
    </row>
    <row r="81" spans="2:8" x14ac:dyDescent="0.2">
      <c r="B81" s="166"/>
      <c r="C81" s="219" t="s">
        <v>83</v>
      </c>
      <c r="D81" s="493">
        <f>G81*D41</f>
        <v>39.101024301182775</v>
      </c>
      <c r="E81" s="493"/>
      <c r="F81" s="494"/>
      <c r="G81" s="226">
        <f>D74+D75+D76+D77+D78+D79</f>
        <v>102.03816362521601</v>
      </c>
      <c r="H81" s="223">
        <f>G80+H80</f>
        <v>8.3406960000000002E-2</v>
      </c>
    </row>
    <row r="82" spans="2:8" ht="12.75" thickBot="1" x14ac:dyDescent="0.25">
      <c r="B82" s="169"/>
      <c r="C82" s="220" t="s">
        <v>53</v>
      </c>
      <c r="D82" s="485">
        <f>SUM(D74:F81)</f>
        <v>141.13918792639879</v>
      </c>
      <c r="E82" s="534"/>
      <c r="F82" s="486"/>
      <c r="G82" s="218"/>
      <c r="H82" s="223"/>
    </row>
    <row r="83" spans="2:8" ht="12.75" thickBot="1" x14ac:dyDescent="0.25">
      <c r="G83" s="218" t="s">
        <v>233</v>
      </c>
      <c r="H83" s="223">
        <f>H81+G69+G56+G57</f>
        <v>0.77804004800000004</v>
      </c>
    </row>
    <row r="84" spans="2:8" ht="12.75" thickBot="1" x14ac:dyDescent="0.25">
      <c r="B84" s="181"/>
      <c r="C84" s="519" t="s">
        <v>84</v>
      </c>
      <c r="D84" s="520"/>
      <c r="E84" s="520"/>
      <c r="F84" s="521"/>
      <c r="G84" s="218"/>
      <c r="H84" s="223"/>
    </row>
    <row r="85" spans="2:8" x14ac:dyDescent="0.2">
      <c r="B85" s="227" t="s">
        <v>85</v>
      </c>
      <c r="C85" s="228" t="s">
        <v>59</v>
      </c>
      <c r="D85" s="522" t="s">
        <v>20</v>
      </c>
      <c r="E85" s="522"/>
      <c r="F85" s="523"/>
      <c r="G85" s="218"/>
      <c r="H85" s="223"/>
    </row>
    <row r="86" spans="2:8" ht="12.75" thickBot="1" x14ac:dyDescent="0.25">
      <c r="B86" s="229" t="s">
        <v>2</v>
      </c>
      <c r="C86" s="230" t="s">
        <v>86</v>
      </c>
      <c r="D86" s="524"/>
      <c r="E86" s="525"/>
      <c r="F86" s="526"/>
      <c r="G86" s="218"/>
      <c r="H86" s="223"/>
    </row>
    <row r="87" spans="2:8" ht="12.75" thickBot="1" x14ac:dyDescent="0.25">
      <c r="B87" s="181"/>
      <c r="C87" s="231" t="s">
        <v>53</v>
      </c>
      <c r="D87" s="527">
        <f>SUM(D86)</f>
        <v>0</v>
      </c>
      <c r="E87" s="527"/>
      <c r="F87" s="528"/>
      <c r="G87" s="232"/>
    </row>
    <row r="88" spans="2:8" ht="12.75" thickBot="1" x14ac:dyDescent="0.25"/>
    <row r="89" spans="2:8" ht="12.75" thickBot="1" x14ac:dyDescent="0.25">
      <c r="B89" s="206"/>
      <c r="C89" s="529" t="s">
        <v>87</v>
      </c>
      <c r="D89" s="530"/>
      <c r="E89" s="530"/>
      <c r="F89" s="531"/>
    </row>
    <row r="90" spans="2:8" ht="12.75" thickBot="1" x14ac:dyDescent="0.25">
      <c r="B90" s="233">
        <v>4</v>
      </c>
      <c r="C90" s="208" t="s">
        <v>88</v>
      </c>
      <c r="D90" s="532" t="s">
        <v>36</v>
      </c>
      <c r="E90" s="532"/>
      <c r="F90" s="533"/>
    </row>
    <row r="91" spans="2:8" s="235" customFormat="1" x14ac:dyDescent="0.2">
      <c r="B91" s="209" t="s">
        <v>76</v>
      </c>
      <c r="C91" s="210" t="s">
        <v>77</v>
      </c>
      <c r="D91" s="503">
        <f>D82</f>
        <v>141.13918792639879</v>
      </c>
      <c r="E91" s="504"/>
      <c r="F91" s="505"/>
      <c r="G91" s="234"/>
    </row>
    <row r="92" spans="2:8" ht="12.75" thickBot="1" x14ac:dyDescent="0.25">
      <c r="B92" s="211" t="s">
        <v>85</v>
      </c>
      <c r="C92" s="212" t="s">
        <v>59</v>
      </c>
      <c r="D92" s="506">
        <f>D87</f>
        <v>0</v>
      </c>
      <c r="E92" s="507"/>
      <c r="F92" s="508"/>
    </row>
    <row r="93" spans="2:8" ht="12.75" thickBot="1" x14ac:dyDescent="0.25">
      <c r="B93" s="206"/>
      <c r="C93" s="262" t="s">
        <v>39</v>
      </c>
      <c r="D93" s="509">
        <f>SUM(D91:F92)</f>
        <v>141.13918792639879</v>
      </c>
      <c r="E93" s="509"/>
      <c r="F93" s="510"/>
    </row>
    <row r="94" spans="2:8" ht="12.75" thickBot="1" x14ac:dyDescent="0.25">
      <c r="G94" s="156"/>
    </row>
    <row r="95" spans="2:8" ht="12.75" thickBot="1" x14ac:dyDescent="0.25">
      <c r="B95" s="236"/>
      <c r="C95" s="511" t="s">
        <v>89</v>
      </c>
      <c r="D95" s="512"/>
      <c r="E95" s="512"/>
      <c r="F95" s="513"/>
      <c r="G95" s="156"/>
    </row>
    <row r="96" spans="2:8" ht="12.75" thickBot="1" x14ac:dyDescent="0.25">
      <c r="B96" s="237">
        <v>5</v>
      </c>
      <c r="C96" s="238" t="s">
        <v>90</v>
      </c>
      <c r="D96" s="514" t="s">
        <v>20</v>
      </c>
      <c r="E96" s="514"/>
      <c r="F96" s="515"/>
      <c r="G96" s="156"/>
    </row>
    <row r="97" spans="2:7" x14ac:dyDescent="0.2">
      <c r="B97" s="239" t="s">
        <v>2</v>
      </c>
      <c r="C97" s="240" t="s">
        <v>91</v>
      </c>
      <c r="D97" s="516">
        <f>Uniformes!F15</f>
        <v>41.613888888888887</v>
      </c>
      <c r="E97" s="517"/>
      <c r="F97" s="518"/>
      <c r="G97" s="156"/>
    </row>
    <row r="98" spans="2:7" x14ac:dyDescent="0.2">
      <c r="B98" s="239" t="s">
        <v>4</v>
      </c>
      <c r="C98" s="241" t="s">
        <v>92</v>
      </c>
      <c r="D98" s="495">
        <f>Materiais!E8</f>
        <v>7.5037499999999993</v>
      </c>
      <c r="E98" s="495"/>
      <c r="F98" s="496"/>
      <c r="G98" s="156"/>
    </row>
    <row r="99" spans="2:7" x14ac:dyDescent="0.2">
      <c r="B99" s="239" t="s">
        <v>6</v>
      </c>
      <c r="C99" s="241" t="s">
        <v>93</v>
      </c>
      <c r="D99" s="495">
        <f>Equipamentos!F7</f>
        <v>19.340450000000004</v>
      </c>
      <c r="E99" s="495"/>
      <c r="F99" s="496"/>
      <c r="G99" s="156"/>
    </row>
    <row r="100" spans="2:7" ht="12.75" thickBot="1" x14ac:dyDescent="0.25">
      <c r="B100" s="242"/>
      <c r="C100" s="243" t="s">
        <v>94</v>
      </c>
      <c r="D100" s="497">
        <f>SUM(D97:F99)</f>
        <v>68.458088888888881</v>
      </c>
      <c r="E100" s="497"/>
      <c r="F100" s="498"/>
      <c r="G100" s="156"/>
    </row>
    <row r="101" spans="2:7" ht="12.75" thickBot="1" x14ac:dyDescent="0.25">
      <c r="B101" s="244"/>
      <c r="C101" s="245"/>
      <c r="D101" s="246"/>
      <c r="E101" s="246"/>
      <c r="F101" s="246"/>
      <c r="G101" s="156"/>
    </row>
    <row r="102" spans="2:7" ht="12.75" thickBot="1" x14ac:dyDescent="0.25">
      <c r="B102" s="247"/>
      <c r="C102" s="499" t="s">
        <v>95</v>
      </c>
      <c r="D102" s="500"/>
      <c r="E102" s="500"/>
      <c r="F102" s="500"/>
      <c r="G102" s="156"/>
    </row>
    <row r="103" spans="2:7" ht="12.75" thickBot="1" x14ac:dyDescent="0.25">
      <c r="B103" s="237">
        <v>6</v>
      </c>
      <c r="C103" s="216" t="s">
        <v>96</v>
      </c>
      <c r="D103" s="188" t="s">
        <v>43</v>
      </c>
      <c r="E103" s="488" t="s">
        <v>20</v>
      </c>
      <c r="F103" s="490"/>
      <c r="G103" s="156"/>
    </row>
    <row r="104" spans="2:7" x14ac:dyDescent="0.2">
      <c r="B104" s="239" t="s">
        <v>2</v>
      </c>
      <c r="C104" s="217" t="s">
        <v>97</v>
      </c>
      <c r="D104" s="405">
        <v>0.25</v>
      </c>
      <c r="E104" s="501">
        <f>(D121)*D104/100</f>
        <v>12.822789010161955</v>
      </c>
      <c r="F104" s="502"/>
      <c r="G104" s="156"/>
    </row>
    <row r="105" spans="2:7" x14ac:dyDescent="0.2">
      <c r="B105" s="239" t="s">
        <v>4</v>
      </c>
      <c r="C105" s="219" t="s">
        <v>98</v>
      </c>
      <c r="D105" s="406">
        <v>0.2</v>
      </c>
      <c r="E105" s="493">
        <f>(D121+E104)*D105/100</f>
        <v>10.283876786149888</v>
      </c>
      <c r="F105" s="494"/>
      <c r="G105" s="156"/>
    </row>
    <row r="106" spans="2:7" x14ac:dyDescent="0.2">
      <c r="B106" s="239" t="s">
        <v>6</v>
      </c>
      <c r="C106" s="219" t="s">
        <v>99</v>
      </c>
      <c r="D106" s="407"/>
      <c r="E106" s="493"/>
      <c r="F106" s="494"/>
      <c r="G106" s="156"/>
    </row>
    <row r="107" spans="2:7" x14ac:dyDescent="0.2">
      <c r="B107" s="239"/>
      <c r="C107" s="219" t="s">
        <v>160</v>
      </c>
      <c r="D107" s="407">
        <v>3.65</v>
      </c>
      <c r="E107" s="493">
        <f>((D121+E104+E105)/(1-(D107+D109)/100))*(D107/100)</f>
        <v>205.8632871920415</v>
      </c>
      <c r="F107" s="494"/>
      <c r="G107" s="156"/>
    </row>
    <row r="108" spans="2:7" x14ac:dyDescent="0.2">
      <c r="B108" s="239"/>
      <c r="C108" s="219" t="s">
        <v>100</v>
      </c>
      <c r="D108" s="407"/>
      <c r="E108" s="493"/>
      <c r="F108" s="494"/>
      <c r="G108" s="156"/>
    </row>
    <row r="109" spans="2:7" x14ac:dyDescent="0.2">
      <c r="B109" s="239"/>
      <c r="C109" s="219" t="s">
        <v>101</v>
      </c>
      <c r="D109" s="406">
        <v>5</v>
      </c>
      <c r="E109" s="493">
        <f>((D121+E104+E105)/(1-(D107+D109)/100))*(D109/100)</f>
        <v>282.00450300279658</v>
      </c>
      <c r="F109" s="494"/>
      <c r="G109" s="156"/>
    </row>
    <row r="110" spans="2:7" x14ac:dyDescent="0.2">
      <c r="B110" s="239"/>
      <c r="C110" s="219" t="s">
        <v>102</v>
      </c>
      <c r="D110" s="407"/>
      <c r="E110" s="493"/>
      <c r="F110" s="494"/>
      <c r="G110" s="156"/>
    </row>
    <row r="111" spans="2:7" ht="12.75" thickBot="1" x14ac:dyDescent="0.25">
      <c r="B111" s="248"/>
      <c r="C111" s="220" t="s">
        <v>53</v>
      </c>
      <c r="D111" s="408">
        <f>SUM(D104:D110)</f>
        <v>9.1</v>
      </c>
      <c r="E111" s="485">
        <f>SUM(E104:F110)</f>
        <v>510.97445599114991</v>
      </c>
      <c r="F111" s="486"/>
      <c r="G111" s="156"/>
    </row>
    <row r="112" spans="2:7" x14ac:dyDescent="0.2">
      <c r="B112" s="244"/>
      <c r="C112" s="245"/>
      <c r="D112" s="246"/>
      <c r="E112" s="246"/>
      <c r="F112" s="246"/>
      <c r="G112" s="156"/>
    </row>
    <row r="113" spans="2:6" s="235" customFormat="1" x14ac:dyDescent="0.2">
      <c r="B113" s="156"/>
      <c r="C113" s="487" t="s">
        <v>103</v>
      </c>
      <c r="D113" s="487"/>
      <c r="E113" s="487"/>
      <c r="F113" s="487"/>
    </row>
    <row r="114" spans="2:6" s="235" customFormat="1" ht="12.75" thickBot="1" x14ac:dyDescent="0.25">
      <c r="B114" s="156"/>
      <c r="C114" s="249"/>
      <c r="D114" s="156"/>
      <c r="E114" s="156"/>
      <c r="F114" s="156"/>
    </row>
    <row r="115" spans="2:6" s="235" customFormat="1" ht="24.75" thickBot="1" x14ac:dyDescent="0.25">
      <c r="B115" s="163"/>
      <c r="C115" s="216" t="s">
        <v>104</v>
      </c>
      <c r="D115" s="488" t="s">
        <v>20</v>
      </c>
      <c r="E115" s="489"/>
      <c r="F115" s="490"/>
    </row>
    <row r="116" spans="2:6" s="235" customFormat="1" x14ac:dyDescent="0.2">
      <c r="B116" s="250" t="s">
        <v>2</v>
      </c>
      <c r="C116" s="217" t="s">
        <v>105</v>
      </c>
      <c r="D116" s="491">
        <f>D20</f>
        <v>2245.4380000000001</v>
      </c>
      <c r="E116" s="491"/>
      <c r="F116" s="492"/>
    </row>
    <row r="117" spans="2:6" s="235" customFormat="1" x14ac:dyDescent="0.2">
      <c r="B117" s="250" t="s">
        <v>4</v>
      </c>
      <c r="C117" s="219" t="s">
        <v>106</v>
      </c>
      <c r="D117" s="471">
        <f>D59</f>
        <v>2513.7713176388424</v>
      </c>
      <c r="E117" s="471"/>
      <c r="F117" s="472"/>
    </row>
    <row r="118" spans="2:6" s="235" customFormat="1" x14ac:dyDescent="0.2">
      <c r="B118" s="250" t="s">
        <v>6</v>
      </c>
      <c r="C118" s="219" t="s">
        <v>107</v>
      </c>
      <c r="D118" s="471">
        <f>D69</f>
        <v>160.3090096106512</v>
      </c>
      <c r="E118" s="471"/>
      <c r="F118" s="472"/>
    </row>
    <row r="119" spans="2:6" s="235" customFormat="1" x14ac:dyDescent="0.2">
      <c r="B119" s="250" t="s">
        <v>8</v>
      </c>
      <c r="C119" s="219" t="s">
        <v>74</v>
      </c>
      <c r="D119" s="471">
        <f>D93</f>
        <v>141.13918792639879</v>
      </c>
      <c r="E119" s="471"/>
      <c r="F119" s="472"/>
    </row>
    <row r="120" spans="2:6" s="235" customFormat="1" x14ac:dyDescent="0.2">
      <c r="B120" s="250" t="s">
        <v>25</v>
      </c>
      <c r="C120" s="219" t="s">
        <v>108</v>
      </c>
      <c r="D120" s="473">
        <f>D100</f>
        <v>68.458088888888881</v>
      </c>
      <c r="E120" s="474"/>
      <c r="F120" s="475"/>
    </row>
    <row r="121" spans="2:6" s="235" customFormat="1" x14ac:dyDescent="0.2">
      <c r="B121" s="250"/>
      <c r="C121" s="251" t="s">
        <v>109</v>
      </c>
      <c r="D121" s="476">
        <f>SUM(D116:F120)</f>
        <v>5129.115604064782</v>
      </c>
      <c r="E121" s="477"/>
      <c r="F121" s="478"/>
    </row>
    <row r="122" spans="2:6" s="235" customFormat="1" x14ac:dyDescent="0.2">
      <c r="B122" s="250" t="s">
        <v>27</v>
      </c>
      <c r="C122" s="252" t="s">
        <v>110</v>
      </c>
      <c r="D122" s="473">
        <f>E111</f>
        <v>510.97445599114991</v>
      </c>
      <c r="E122" s="474"/>
      <c r="F122" s="475"/>
    </row>
    <row r="123" spans="2:6" s="235" customFormat="1" ht="12.75" thickBot="1" x14ac:dyDescent="0.25">
      <c r="B123" s="250"/>
      <c r="C123" s="220" t="s">
        <v>111</v>
      </c>
      <c r="D123" s="479">
        <f>TRUNC(D121+D122,2)</f>
        <v>5640.09</v>
      </c>
      <c r="E123" s="480"/>
      <c r="F123" s="481"/>
    </row>
    <row r="124" spans="2:6" s="235" customFormat="1" x14ac:dyDescent="0.2">
      <c r="B124" s="253"/>
      <c r="C124" s="254" t="s">
        <v>112</v>
      </c>
      <c r="D124" s="482">
        <f>D123/D20</f>
        <v>2.511799479656085</v>
      </c>
      <c r="E124" s="483"/>
      <c r="F124" s="484"/>
    </row>
    <row r="125" spans="2:6" s="235" customFormat="1" x14ac:dyDescent="0.2">
      <c r="B125" s="321"/>
      <c r="C125" s="322"/>
      <c r="D125" s="322"/>
      <c r="E125" s="323"/>
      <c r="F125" s="255"/>
    </row>
    <row r="126" spans="2:6" x14ac:dyDescent="0.2">
      <c r="B126" s="324"/>
      <c r="C126" s="324"/>
      <c r="D126" s="324"/>
      <c r="E126" s="325"/>
      <c r="F126" s="255"/>
    </row>
    <row r="127" spans="2:6" x14ac:dyDescent="0.2">
      <c r="B127" s="585" t="s">
        <v>228</v>
      </c>
      <c r="C127" s="585"/>
      <c r="D127" s="585"/>
      <c r="E127" s="585"/>
      <c r="F127" s="585"/>
    </row>
    <row r="128" spans="2:6" x14ac:dyDescent="0.2">
      <c r="B128" s="586" t="s">
        <v>229</v>
      </c>
      <c r="C128" s="586"/>
      <c r="D128" s="586"/>
      <c r="E128" s="586"/>
      <c r="F128" s="586"/>
    </row>
    <row r="129" spans="2:6" x14ac:dyDescent="0.2">
      <c r="B129" s="324"/>
      <c r="C129" s="587" t="s">
        <v>230</v>
      </c>
      <c r="D129" s="588"/>
      <c r="E129" s="589"/>
      <c r="F129" s="326" t="s">
        <v>231</v>
      </c>
    </row>
    <row r="130" spans="2:6" x14ac:dyDescent="0.2">
      <c r="B130" s="327" t="s">
        <v>2</v>
      </c>
      <c r="C130" s="590" t="s">
        <v>232</v>
      </c>
      <c r="D130" s="591"/>
      <c r="E130" s="592"/>
      <c r="F130" s="323">
        <f>TRUNC(D123,2)</f>
        <v>5640.09</v>
      </c>
    </row>
    <row r="131" spans="2:6" x14ac:dyDescent="0.2">
      <c r="B131" s="327" t="s">
        <v>4</v>
      </c>
      <c r="C131" s="321" t="s">
        <v>225</v>
      </c>
      <c r="D131" s="322"/>
      <c r="E131" s="322"/>
      <c r="F131" s="328">
        <f>TRUNC(F130*2,2)</f>
        <v>11280.18</v>
      </c>
    </row>
    <row r="132" spans="2:6" x14ac:dyDescent="0.2">
      <c r="B132" s="327" t="s">
        <v>6</v>
      </c>
      <c r="C132" s="590" t="s">
        <v>226</v>
      </c>
      <c r="D132" s="591"/>
      <c r="E132" s="592"/>
      <c r="F132" s="325">
        <v>1</v>
      </c>
    </row>
    <row r="133" spans="2:6" x14ac:dyDescent="0.2">
      <c r="B133" s="327" t="s">
        <v>8</v>
      </c>
      <c r="C133" s="329" t="s">
        <v>227</v>
      </c>
      <c r="D133" s="330"/>
      <c r="E133" s="331"/>
      <c r="F133" s="323">
        <f>F131*F132</f>
        <v>11280.18</v>
      </c>
    </row>
    <row r="134" spans="2:6" x14ac:dyDescent="0.2">
      <c r="B134" s="327" t="s">
        <v>25</v>
      </c>
      <c r="C134" s="593" t="s">
        <v>248</v>
      </c>
      <c r="D134" s="594"/>
      <c r="E134" s="595"/>
      <c r="F134" s="323">
        <f>F133*12</f>
        <v>135362.16</v>
      </c>
    </row>
    <row r="137" spans="2:6" ht="12.75" x14ac:dyDescent="0.2">
      <c r="C137" s="5"/>
      <c r="F137" s="256"/>
    </row>
    <row r="139" spans="2:6" x14ac:dyDescent="0.2">
      <c r="E139" s="256"/>
    </row>
    <row r="140" spans="2:6" x14ac:dyDescent="0.2">
      <c r="E140" s="256"/>
    </row>
    <row r="141" spans="2:6" x14ac:dyDescent="0.2">
      <c r="E141" s="256"/>
    </row>
    <row r="142" spans="2:6" x14ac:dyDescent="0.2">
      <c r="E142" s="257"/>
    </row>
  </sheetData>
  <mergeCells count="115">
    <mergeCell ref="B127:F127"/>
    <mergeCell ref="B128:F128"/>
    <mergeCell ref="C129:E129"/>
    <mergeCell ref="C130:E130"/>
    <mergeCell ref="C132:E132"/>
    <mergeCell ref="C134:E134"/>
    <mergeCell ref="C1:F1"/>
    <mergeCell ref="D3:F3"/>
    <mergeCell ref="D4:F4"/>
    <mergeCell ref="D5:F5"/>
    <mergeCell ref="D6:F6"/>
    <mergeCell ref="D7:F7"/>
    <mergeCell ref="D16:F16"/>
    <mergeCell ref="D17:F17"/>
    <mergeCell ref="D18:F18"/>
    <mergeCell ref="D8:F8"/>
    <mergeCell ref="C11:F11"/>
    <mergeCell ref="D12:F12"/>
    <mergeCell ref="D13:F13"/>
    <mergeCell ref="D14:F14"/>
    <mergeCell ref="D15:F15"/>
    <mergeCell ref="D20:F20"/>
    <mergeCell ref="C21:F21"/>
    <mergeCell ref="E36:F36"/>
    <mergeCell ref="C22:F22"/>
    <mergeCell ref="C23:F23"/>
    <mergeCell ref="D24:F24"/>
    <mergeCell ref="D25:F25"/>
    <mergeCell ref="D26:F26"/>
    <mergeCell ref="D27:F27"/>
    <mergeCell ref="D28:F28"/>
    <mergeCell ref="D29:F29"/>
    <mergeCell ref="D52:F52"/>
    <mergeCell ref="E37:F37"/>
    <mergeCell ref="E38:F38"/>
    <mergeCell ref="E39:F39"/>
    <mergeCell ref="E40:F40"/>
    <mergeCell ref="C43:F43"/>
    <mergeCell ref="C30:F30"/>
    <mergeCell ref="E31:F31"/>
    <mergeCell ref="E32:F32"/>
    <mergeCell ref="E33:F33"/>
    <mergeCell ref="E34:F34"/>
    <mergeCell ref="E35:F35"/>
    <mergeCell ref="C54:F54"/>
    <mergeCell ref="D55:F55"/>
    <mergeCell ref="D56:F56"/>
    <mergeCell ref="D44:F44"/>
    <mergeCell ref="D45:F45"/>
    <mergeCell ref="D46:F46"/>
    <mergeCell ref="D47:F47"/>
    <mergeCell ref="D48:F48"/>
    <mergeCell ref="D49:F49"/>
    <mergeCell ref="D51:F51"/>
    <mergeCell ref="D50:F50"/>
    <mergeCell ref="D64:F64"/>
    <mergeCell ref="D65:F65"/>
    <mergeCell ref="D66:F66"/>
    <mergeCell ref="D67:F67"/>
    <mergeCell ref="D68:F68"/>
    <mergeCell ref="D69:F69"/>
    <mergeCell ref="D57:F57"/>
    <mergeCell ref="D58:F58"/>
    <mergeCell ref="D59:F59"/>
    <mergeCell ref="C61:F61"/>
    <mergeCell ref="D62:F62"/>
    <mergeCell ref="D63:F63"/>
    <mergeCell ref="D77:F77"/>
    <mergeCell ref="D78:F78"/>
    <mergeCell ref="D79:F79"/>
    <mergeCell ref="D80:F80"/>
    <mergeCell ref="D81:F81"/>
    <mergeCell ref="D82:F82"/>
    <mergeCell ref="C71:F71"/>
    <mergeCell ref="C72:F72"/>
    <mergeCell ref="D73:F73"/>
    <mergeCell ref="D74:F74"/>
    <mergeCell ref="D75:F75"/>
    <mergeCell ref="D76:F76"/>
    <mergeCell ref="D91:F91"/>
    <mergeCell ref="D92:F92"/>
    <mergeCell ref="D93:F93"/>
    <mergeCell ref="C95:F95"/>
    <mergeCell ref="D96:F96"/>
    <mergeCell ref="D97:F97"/>
    <mergeCell ref="C84:F84"/>
    <mergeCell ref="D85:F85"/>
    <mergeCell ref="D86:F86"/>
    <mergeCell ref="D87:F87"/>
    <mergeCell ref="C89:F89"/>
    <mergeCell ref="D90:F90"/>
    <mergeCell ref="E105:F105"/>
    <mergeCell ref="E106:F106"/>
    <mergeCell ref="E107:F107"/>
    <mergeCell ref="E108:F108"/>
    <mergeCell ref="E109:F109"/>
    <mergeCell ref="E110:F110"/>
    <mergeCell ref="D98:F98"/>
    <mergeCell ref="D99:F99"/>
    <mergeCell ref="D100:F100"/>
    <mergeCell ref="C102:F102"/>
    <mergeCell ref="E103:F103"/>
    <mergeCell ref="E104:F104"/>
    <mergeCell ref="D119:F119"/>
    <mergeCell ref="D120:F120"/>
    <mergeCell ref="D121:F121"/>
    <mergeCell ref="D122:F122"/>
    <mergeCell ref="D123:F123"/>
    <mergeCell ref="D124:F124"/>
    <mergeCell ref="E111:F111"/>
    <mergeCell ref="C113:F113"/>
    <mergeCell ref="D115:F115"/>
    <mergeCell ref="D116:F116"/>
    <mergeCell ref="D117:F117"/>
    <mergeCell ref="D118:F118"/>
  </mergeCells>
  <pageMargins left="0.78749999999999998" right="0.78749999999999998" top="1.0527777777777778" bottom="1.0527777777777778" header="0.78749999999999998" footer="0.78749999999999998"/>
  <pageSetup paperSize="9" scale="85" firstPageNumber="0" fitToHeight="0" orientation="portrait" r:id="rId1"/>
  <headerFooter alignWithMargins="0">
    <oddHeader>&amp;C&amp;"Times New Roman,Normal"&amp;12&amp;A</oddHeader>
    <oddFooter>&amp;C&amp;"Times New Roman,Normal"&amp;12Página &amp;P</oddFooter>
  </headerFooter>
  <rowBreaks count="1" manualBreakCount="1">
    <brk id="82" min="1" max="5" man="1"/>
  </rowBreaks>
  <colBreaks count="1" manualBreakCount="1">
    <brk id="6" min="7" max="139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0.39997558519241921"/>
    <pageSetUpPr fitToPage="1"/>
  </sheetPr>
  <dimension ref="A1:H137"/>
  <sheetViews>
    <sheetView zoomScale="130" zoomScaleNormal="130" zoomScaleSheetLayoutView="90" workbookViewId="0">
      <selection activeCell="D14" sqref="D14:F14"/>
    </sheetView>
  </sheetViews>
  <sheetFormatPr defaultColWidth="11.42578125" defaultRowHeight="12.75" x14ac:dyDescent="0.2"/>
  <cols>
    <col min="1" max="1" width="4.42578125" style="5" customWidth="1"/>
    <col min="2" max="2" width="5.140625" style="5" customWidth="1"/>
    <col min="3" max="3" width="47.5703125" style="5" customWidth="1"/>
    <col min="4" max="4" width="15.5703125" style="5" customWidth="1"/>
    <col min="5" max="5" width="19.5703125" style="5" customWidth="1"/>
    <col min="6" max="6" width="25.7109375" style="5" customWidth="1"/>
    <col min="7" max="7" width="20.5703125" style="6" customWidth="1"/>
    <col min="8" max="16384" width="11.42578125" style="5"/>
  </cols>
  <sheetData>
    <row r="1" spans="1:6" s="6" customFormat="1" x14ac:dyDescent="0.2">
      <c r="A1" s="6" t="s">
        <v>121</v>
      </c>
      <c r="B1" s="5"/>
      <c r="C1" s="639" t="s">
        <v>10</v>
      </c>
      <c r="D1" s="640"/>
      <c r="E1" s="640"/>
      <c r="F1" s="640"/>
    </row>
    <row r="2" spans="1:6" s="6" customFormat="1" ht="26.25" thickBot="1" x14ac:dyDescent="0.25">
      <c r="B2" s="5"/>
      <c r="C2" s="7" t="s">
        <v>11</v>
      </c>
      <c r="D2" s="264"/>
      <c r="E2" s="264"/>
      <c r="F2" s="264"/>
    </row>
    <row r="3" spans="1:6" s="6" customFormat="1" ht="15.75" x14ac:dyDescent="0.2">
      <c r="B3" s="5"/>
      <c r="C3" s="332" t="s">
        <v>12</v>
      </c>
      <c r="D3" s="641" t="s">
        <v>184</v>
      </c>
      <c r="E3" s="642"/>
      <c r="F3" s="643"/>
    </row>
    <row r="4" spans="1:6" s="6" customFormat="1" ht="15.75" x14ac:dyDescent="0.2">
      <c r="B4" s="5"/>
      <c r="C4" s="333" t="s">
        <v>13</v>
      </c>
      <c r="D4" s="644">
        <v>15</v>
      </c>
      <c r="E4" s="645"/>
      <c r="F4" s="646"/>
    </row>
    <row r="5" spans="1:6" s="6" customFormat="1" ht="15" x14ac:dyDescent="0.2">
      <c r="B5" s="5"/>
      <c r="C5" s="333" t="s">
        <v>14</v>
      </c>
      <c r="D5" s="647" t="s">
        <v>183</v>
      </c>
      <c r="E5" s="648"/>
      <c r="F5" s="649"/>
    </row>
    <row r="6" spans="1:6" s="6" customFormat="1" ht="15" x14ac:dyDescent="0.2">
      <c r="B6" s="5"/>
      <c r="C6" s="334" t="s">
        <v>15</v>
      </c>
      <c r="D6" s="650">
        <v>1727.26</v>
      </c>
      <c r="E6" s="648"/>
      <c r="F6" s="649"/>
    </row>
    <row r="7" spans="1:6" s="6" customFormat="1" ht="15.75" x14ac:dyDescent="0.2">
      <c r="B7" s="5"/>
      <c r="C7" s="334" t="s">
        <v>16</v>
      </c>
      <c r="D7" s="644" t="s">
        <v>161</v>
      </c>
      <c r="E7" s="645"/>
      <c r="F7" s="646"/>
    </row>
    <row r="8" spans="1:6" s="6" customFormat="1" ht="15.75" thickBot="1" x14ac:dyDescent="0.25">
      <c r="B8" s="5"/>
      <c r="C8" s="335" t="s">
        <v>17</v>
      </c>
      <c r="D8" s="626">
        <v>44927</v>
      </c>
      <c r="E8" s="627"/>
      <c r="F8" s="628"/>
    </row>
    <row r="9" spans="1:6" s="6" customFormat="1" x14ac:dyDescent="0.2">
      <c r="B9" s="5"/>
      <c r="C9" s="5"/>
      <c r="D9" s="336"/>
    </row>
    <row r="10" spans="1:6" s="6" customFormat="1" ht="13.5" thickBot="1" x14ac:dyDescent="0.25">
      <c r="B10" s="5"/>
      <c r="C10" s="5"/>
    </row>
    <row r="11" spans="1:6" s="6" customFormat="1" x14ac:dyDescent="0.2">
      <c r="B11" s="337"/>
      <c r="C11" s="629" t="s">
        <v>18</v>
      </c>
      <c r="D11" s="629"/>
      <c r="E11" s="629"/>
      <c r="F11" s="630"/>
    </row>
    <row r="12" spans="1:6" s="6" customFormat="1" x14ac:dyDescent="0.2">
      <c r="B12" s="8">
        <v>1</v>
      </c>
      <c r="C12" s="34" t="s">
        <v>19</v>
      </c>
      <c r="D12" s="631" t="s">
        <v>20</v>
      </c>
      <c r="E12" s="631"/>
      <c r="F12" s="632"/>
    </row>
    <row r="13" spans="1:6" s="6" customFormat="1" x14ac:dyDescent="0.2">
      <c r="B13" s="9" t="s">
        <v>2</v>
      </c>
      <c r="C13" s="338" t="s">
        <v>21</v>
      </c>
      <c r="D13" s="633">
        <f>D6</f>
        <v>1727.26</v>
      </c>
      <c r="E13" s="634"/>
      <c r="F13" s="635"/>
    </row>
    <row r="14" spans="1:6" s="6" customFormat="1" x14ac:dyDescent="0.2">
      <c r="B14" s="9" t="s">
        <v>4</v>
      </c>
      <c r="C14" s="338" t="s">
        <v>22</v>
      </c>
      <c r="D14" s="636">
        <f>D13*0.3</f>
        <v>518.178</v>
      </c>
      <c r="E14" s="637"/>
      <c r="F14" s="638"/>
    </row>
    <row r="15" spans="1:6" x14ac:dyDescent="0.2">
      <c r="B15" s="9" t="s">
        <v>6</v>
      </c>
      <c r="C15" s="338" t="s">
        <v>23</v>
      </c>
      <c r="D15" s="636"/>
      <c r="E15" s="637"/>
      <c r="F15" s="638"/>
    </row>
    <row r="16" spans="1:6" x14ac:dyDescent="0.2">
      <c r="B16" s="9" t="s">
        <v>8</v>
      </c>
      <c r="C16" s="47" t="s">
        <v>24</v>
      </c>
      <c r="D16" s="623">
        <f>(D13+D14)/220*0.3*120</f>
        <v>367.43530909090907</v>
      </c>
      <c r="E16" s="624"/>
      <c r="F16" s="625"/>
    </row>
    <row r="17" spans="2:7" x14ac:dyDescent="0.2">
      <c r="B17" s="9" t="s">
        <v>25</v>
      </c>
      <c r="C17" s="47" t="s">
        <v>26</v>
      </c>
      <c r="D17" s="623">
        <f>(D13+D14)/220*1.6*15</f>
        <v>244.95687272727275</v>
      </c>
      <c r="E17" s="624"/>
      <c r="F17" s="625"/>
    </row>
    <row r="18" spans="2:7" x14ac:dyDescent="0.2">
      <c r="B18" s="9" t="s">
        <v>27</v>
      </c>
      <c r="C18" s="339" t="s">
        <v>28</v>
      </c>
      <c r="D18" s="623"/>
      <c r="E18" s="624"/>
      <c r="F18" s="625"/>
    </row>
    <row r="19" spans="2:7" x14ac:dyDescent="0.2">
      <c r="B19" s="9" t="s">
        <v>29</v>
      </c>
      <c r="C19" s="47" t="s">
        <v>162</v>
      </c>
      <c r="D19" s="623"/>
      <c r="E19" s="624"/>
      <c r="F19" s="625"/>
    </row>
    <row r="20" spans="2:7" ht="13.5" thickBot="1" x14ac:dyDescent="0.25">
      <c r="B20" s="340"/>
      <c r="C20" s="38" t="s">
        <v>31</v>
      </c>
      <c r="D20" s="653">
        <f>SUM(D13:F19)</f>
        <v>2857.8301818181817</v>
      </c>
      <c r="E20" s="654"/>
      <c r="F20" s="655"/>
    </row>
    <row r="21" spans="2:7" ht="13.5" thickBot="1" x14ac:dyDescent="0.25">
      <c r="C21" s="656"/>
      <c r="D21" s="656"/>
      <c r="E21" s="656"/>
      <c r="F21" s="656"/>
    </row>
    <row r="22" spans="2:7" ht="13.5" thickBot="1" x14ac:dyDescent="0.25">
      <c r="B22" s="341"/>
      <c r="C22" s="661" t="s">
        <v>32</v>
      </c>
      <c r="D22" s="662"/>
      <c r="E22" s="662"/>
      <c r="F22" s="663"/>
    </row>
    <row r="23" spans="2:7" ht="13.5" thickBot="1" x14ac:dyDescent="0.25">
      <c r="B23" s="342"/>
      <c r="C23" s="664" t="s">
        <v>33</v>
      </c>
      <c r="D23" s="665"/>
      <c r="E23" s="665"/>
      <c r="F23" s="666"/>
    </row>
    <row r="24" spans="2:7" ht="13.5" thickBot="1" x14ac:dyDescent="0.25">
      <c r="B24" s="4" t="s">
        <v>34</v>
      </c>
      <c r="C24" s="13" t="s">
        <v>35</v>
      </c>
      <c r="D24" s="438" t="s">
        <v>36</v>
      </c>
      <c r="E24" s="438"/>
      <c r="F24" s="439"/>
      <c r="G24" s="11"/>
    </row>
    <row r="25" spans="2:7" x14ac:dyDescent="0.2">
      <c r="B25" s="343" t="s">
        <v>2</v>
      </c>
      <c r="C25" s="344" t="s">
        <v>37</v>
      </c>
      <c r="D25" s="667">
        <f>$D$20*8.33%</f>
        <v>238.05725414545452</v>
      </c>
      <c r="E25" s="667"/>
      <c r="F25" s="668"/>
      <c r="G25" s="345">
        <v>8.3299999999999999E-2</v>
      </c>
    </row>
    <row r="26" spans="2:7" ht="13.5" thickBot="1" x14ac:dyDescent="0.25">
      <c r="B26" s="346" t="s">
        <v>4</v>
      </c>
      <c r="C26" s="347" t="s">
        <v>38</v>
      </c>
      <c r="D26" s="669">
        <f>$D$20*11.11%</f>
        <v>317.50493319999998</v>
      </c>
      <c r="E26" s="670"/>
      <c r="F26" s="671"/>
      <c r="G26" s="345">
        <v>0.1111</v>
      </c>
    </row>
    <row r="27" spans="2:7" ht="13.5" thickBot="1" x14ac:dyDescent="0.25">
      <c r="B27" s="348"/>
      <c r="C27" s="13" t="s">
        <v>185</v>
      </c>
      <c r="D27" s="672">
        <f>SUM(D25:F26)</f>
        <v>555.5621873454545</v>
      </c>
      <c r="E27" s="658"/>
      <c r="F27" s="659"/>
      <c r="G27" s="345">
        <f>SUM(G25:G26)</f>
        <v>0.19440000000000002</v>
      </c>
    </row>
    <row r="28" spans="2:7" ht="26.25" thickBot="1" x14ac:dyDescent="0.25">
      <c r="B28" s="349"/>
      <c r="C28" s="350" t="s">
        <v>187</v>
      </c>
      <c r="D28" s="657">
        <f>D40*(D25+D26)/100</f>
        <v>212.89698581265162</v>
      </c>
      <c r="E28" s="658"/>
      <c r="F28" s="659"/>
      <c r="G28" s="345">
        <f>G27*D41</f>
        <v>7.4496024000000008E-2</v>
      </c>
    </row>
    <row r="29" spans="2:7" ht="13.5" thickBot="1" x14ac:dyDescent="0.25">
      <c r="C29" s="87" t="s">
        <v>53</v>
      </c>
      <c r="D29" s="657">
        <f>SUM(D27,D28)</f>
        <v>768.45917315810607</v>
      </c>
      <c r="E29" s="660"/>
      <c r="F29" s="660"/>
    </row>
    <row r="30" spans="2:7" ht="13.5" thickBot="1" x14ac:dyDescent="0.25">
      <c r="B30" s="351"/>
      <c r="C30" s="673" t="s">
        <v>40</v>
      </c>
      <c r="D30" s="674"/>
      <c r="E30" s="674"/>
      <c r="F30" s="675"/>
    </row>
    <row r="31" spans="2:7" ht="13.5" thickBot="1" x14ac:dyDescent="0.25">
      <c r="B31" s="12" t="s">
        <v>41</v>
      </c>
      <c r="C31" s="14" t="s">
        <v>42</v>
      </c>
      <c r="D31" s="15" t="s">
        <v>43</v>
      </c>
      <c r="E31" s="676" t="s">
        <v>20</v>
      </c>
      <c r="F31" s="677"/>
    </row>
    <row r="32" spans="2:7" x14ac:dyDescent="0.2">
      <c r="B32" s="352" t="s">
        <v>2</v>
      </c>
      <c r="C32" s="85" t="s">
        <v>44</v>
      </c>
      <c r="D32" s="267">
        <v>20</v>
      </c>
      <c r="E32" s="678">
        <f>($D$20+D27)*(D32/100)</f>
        <v>682.67847383272738</v>
      </c>
      <c r="F32" s="679"/>
      <c r="G32" s="345">
        <v>0.2</v>
      </c>
    </row>
    <row r="33" spans="2:7" x14ac:dyDescent="0.2">
      <c r="B33" s="352" t="s">
        <v>4</v>
      </c>
      <c r="C33" s="86" t="s">
        <v>45</v>
      </c>
      <c r="D33" s="266">
        <v>2.5</v>
      </c>
      <c r="E33" s="651">
        <f>($D$20+D27)*(D33/100)</f>
        <v>85.334809229090922</v>
      </c>
      <c r="F33" s="652"/>
      <c r="G33" s="345">
        <v>2.5000000000000001E-2</v>
      </c>
    </row>
    <row r="34" spans="2:7" x14ac:dyDescent="0.2">
      <c r="B34" s="352" t="s">
        <v>6</v>
      </c>
      <c r="C34" s="86" t="s">
        <v>46</v>
      </c>
      <c r="D34" s="139">
        <f>3*1.507</f>
        <v>4.5209999999999999</v>
      </c>
      <c r="E34" s="651">
        <f>($D$20+D27)*(D34/100)</f>
        <v>154.319469009888</v>
      </c>
      <c r="F34" s="652"/>
      <c r="G34" s="345">
        <v>4.5199999999999997E-2</v>
      </c>
    </row>
    <row r="35" spans="2:7" x14ac:dyDescent="0.2">
      <c r="B35" s="352" t="s">
        <v>8</v>
      </c>
      <c r="C35" s="86" t="s">
        <v>47</v>
      </c>
      <c r="D35" s="266">
        <v>1.5</v>
      </c>
      <c r="E35" s="651">
        <f>($D$20+D27)*(D35/100)</f>
        <v>51.200885537454546</v>
      </c>
      <c r="F35" s="652"/>
      <c r="G35" s="345">
        <v>1.4999999999999999E-2</v>
      </c>
    </row>
    <row r="36" spans="2:7" x14ac:dyDescent="0.2">
      <c r="B36" s="352" t="s">
        <v>25</v>
      </c>
      <c r="C36" s="86" t="s">
        <v>48</v>
      </c>
      <c r="D36" s="266">
        <v>1</v>
      </c>
      <c r="E36" s="651">
        <f>($D$20+D27)*(D36/100)</f>
        <v>34.133923691636362</v>
      </c>
      <c r="F36" s="652"/>
      <c r="G36" s="345">
        <v>0.01</v>
      </c>
    </row>
    <row r="37" spans="2:7" x14ac:dyDescent="0.2">
      <c r="B37" s="352" t="s">
        <v>27</v>
      </c>
      <c r="C37" s="86" t="s">
        <v>49</v>
      </c>
      <c r="D37" s="266">
        <v>0.6</v>
      </c>
      <c r="E37" s="651">
        <f>($D$20+D27)*(D37/100)</f>
        <v>20.480354214981819</v>
      </c>
      <c r="F37" s="652"/>
      <c r="G37" s="345">
        <v>6.0000000000000001E-3</v>
      </c>
    </row>
    <row r="38" spans="2:7" x14ac:dyDescent="0.2">
      <c r="B38" s="352" t="s">
        <v>29</v>
      </c>
      <c r="C38" s="86" t="s">
        <v>50</v>
      </c>
      <c r="D38" s="266">
        <v>0.2</v>
      </c>
      <c r="E38" s="651">
        <f>($D$20+D27)*(D38/100)</f>
        <v>6.8267847383272731</v>
      </c>
      <c r="F38" s="652"/>
      <c r="G38" s="345">
        <v>2E-3</v>
      </c>
    </row>
    <row r="39" spans="2:7" x14ac:dyDescent="0.2">
      <c r="B39" s="352" t="s">
        <v>51</v>
      </c>
      <c r="C39" s="86" t="s">
        <v>52</v>
      </c>
      <c r="D39" s="266">
        <v>8</v>
      </c>
      <c r="E39" s="651">
        <f>($D$20+D27)*(D39/100)</f>
        <v>273.07138953309089</v>
      </c>
      <c r="F39" s="652"/>
      <c r="G39" s="345">
        <v>0.08</v>
      </c>
    </row>
    <row r="40" spans="2:7" ht="13.5" thickBot="1" x14ac:dyDescent="0.25">
      <c r="B40" s="353"/>
      <c r="C40" s="16" t="s">
        <v>53</v>
      </c>
      <c r="D40" s="354">
        <f>SUM(D32:D39)</f>
        <v>38.320999999999998</v>
      </c>
      <c r="E40" s="680">
        <f>SUM(E32:F39)</f>
        <v>1308.0460897871972</v>
      </c>
      <c r="F40" s="681"/>
      <c r="G40" s="345">
        <f>SUM(G32:G39)</f>
        <v>0.38320000000000004</v>
      </c>
    </row>
    <row r="41" spans="2:7" x14ac:dyDescent="0.2">
      <c r="C41" s="3"/>
      <c r="D41" s="355">
        <f>38.321%*100%</f>
        <v>0.38321</v>
      </c>
    </row>
    <row r="42" spans="2:7" ht="13.5" thickBot="1" x14ac:dyDescent="0.25">
      <c r="C42" s="3"/>
    </row>
    <row r="43" spans="2:7" ht="13.5" thickBot="1" x14ac:dyDescent="0.25">
      <c r="B43" s="341"/>
      <c r="C43" s="682" t="s">
        <v>54</v>
      </c>
      <c r="D43" s="683"/>
      <c r="E43" s="683"/>
      <c r="F43" s="684"/>
    </row>
    <row r="44" spans="2:7" ht="13.5" thickBot="1" x14ac:dyDescent="0.25">
      <c r="B44" s="12" t="s">
        <v>55</v>
      </c>
      <c r="C44" s="2" t="s">
        <v>56</v>
      </c>
      <c r="D44" s="691" t="s">
        <v>20</v>
      </c>
      <c r="E44" s="691"/>
      <c r="F44" s="692"/>
    </row>
    <row r="45" spans="2:7" x14ac:dyDescent="0.2">
      <c r="B45" s="352" t="s">
        <v>2</v>
      </c>
      <c r="C45" s="356" t="s">
        <v>57</v>
      </c>
      <c r="D45" s="553">
        <f>4.5*2*D4-(D13*0.06)</f>
        <v>31.364400000000003</v>
      </c>
      <c r="E45" s="554"/>
      <c r="F45" s="555"/>
    </row>
    <row r="46" spans="2:7" x14ac:dyDescent="0.2">
      <c r="B46" s="352" t="s">
        <v>4</v>
      </c>
      <c r="C46" s="357" t="s">
        <v>58</v>
      </c>
      <c r="D46" s="495">
        <v>553.54</v>
      </c>
      <c r="E46" s="495"/>
      <c r="F46" s="496"/>
    </row>
    <row r="47" spans="2:7" x14ac:dyDescent="0.2">
      <c r="B47" s="352" t="s">
        <v>6</v>
      </c>
      <c r="C47" s="357" t="s">
        <v>59</v>
      </c>
      <c r="D47" s="556">
        <v>0</v>
      </c>
      <c r="E47" s="556"/>
      <c r="F47" s="557"/>
    </row>
    <row r="48" spans="2:7" x14ac:dyDescent="0.2">
      <c r="B48" s="352" t="s">
        <v>8</v>
      </c>
      <c r="C48" s="357" t="s">
        <v>60</v>
      </c>
      <c r="D48" s="495">
        <v>0</v>
      </c>
      <c r="E48" s="495"/>
      <c r="F48" s="496"/>
    </row>
    <row r="49" spans="2:7" x14ac:dyDescent="0.2">
      <c r="B49" s="352" t="s">
        <v>25</v>
      </c>
      <c r="C49" s="357" t="s">
        <v>61</v>
      </c>
      <c r="D49" s="495">
        <v>54.97</v>
      </c>
      <c r="E49" s="495"/>
      <c r="F49" s="496"/>
    </row>
    <row r="50" spans="2:7" x14ac:dyDescent="0.2">
      <c r="B50" s="352" t="s">
        <v>27</v>
      </c>
      <c r="C50" s="358" t="s">
        <v>62</v>
      </c>
      <c r="D50" s="556">
        <v>12.71</v>
      </c>
      <c r="E50" s="556"/>
      <c r="F50" s="557"/>
    </row>
    <row r="51" spans="2:7" x14ac:dyDescent="0.2">
      <c r="B51" s="352" t="s">
        <v>29</v>
      </c>
      <c r="C51" s="47" t="s">
        <v>189</v>
      </c>
      <c r="D51" s="558">
        <f>(D13+D14)/220*1.5*15</f>
        <v>229.64706818181818</v>
      </c>
      <c r="E51" s="559"/>
      <c r="F51" s="560"/>
    </row>
    <row r="52" spans="2:7" ht="13.5" thickBot="1" x14ac:dyDescent="0.25">
      <c r="B52" s="353"/>
      <c r="C52" s="1" t="s">
        <v>63</v>
      </c>
      <c r="D52" s="705">
        <f>SUM(D45:F51)</f>
        <v>882.23146818181829</v>
      </c>
      <c r="E52" s="705"/>
      <c r="F52" s="706"/>
    </row>
    <row r="53" spans="2:7" ht="13.5" thickBot="1" x14ac:dyDescent="0.25">
      <c r="C53" s="17"/>
      <c r="D53" s="18"/>
      <c r="E53" s="18"/>
      <c r="F53" s="18"/>
    </row>
    <row r="54" spans="2:7" ht="13.5" thickBot="1" x14ac:dyDescent="0.25">
      <c r="B54" s="359"/>
      <c r="C54" s="707" t="s">
        <v>64</v>
      </c>
      <c r="D54" s="708"/>
      <c r="E54" s="708"/>
      <c r="F54" s="709"/>
    </row>
    <row r="55" spans="2:7" ht="13.5" thickBot="1" x14ac:dyDescent="0.25">
      <c r="B55" s="360">
        <v>2</v>
      </c>
      <c r="C55" s="20" t="s">
        <v>65</v>
      </c>
      <c r="D55" s="710" t="s">
        <v>36</v>
      </c>
      <c r="E55" s="710"/>
      <c r="F55" s="711"/>
    </row>
    <row r="56" spans="2:7" x14ac:dyDescent="0.2">
      <c r="B56" s="361" t="s">
        <v>34</v>
      </c>
      <c r="C56" s="362" t="s">
        <v>186</v>
      </c>
      <c r="D56" s="712">
        <f>D29</f>
        <v>768.45917315810607</v>
      </c>
      <c r="E56" s="713"/>
      <c r="F56" s="714"/>
      <c r="G56" s="363">
        <f>G28+G25+G26</f>
        <v>0.26889602400000001</v>
      </c>
    </row>
    <row r="57" spans="2:7" x14ac:dyDescent="0.2">
      <c r="B57" s="364" t="s">
        <v>41</v>
      </c>
      <c r="C57" s="365" t="s">
        <v>42</v>
      </c>
      <c r="D57" s="685">
        <f>E40</f>
        <v>1308.0460897871972</v>
      </c>
      <c r="E57" s="686"/>
      <c r="F57" s="687"/>
      <c r="G57" s="363">
        <f>G40</f>
        <v>0.38320000000000004</v>
      </c>
    </row>
    <row r="58" spans="2:7" ht="13.5" thickBot="1" x14ac:dyDescent="0.25">
      <c r="B58" s="19" t="s">
        <v>55</v>
      </c>
      <c r="C58" s="366" t="s">
        <v>56</v>
      </c>
      <c r="D58" s="688">
        <f>D52</f>
        <v>882.23146818181829</v>
      </c>
      <c r="E58" s="689"/>
      <c r="F58" s="690"/>
    </row>
    <row r="59" spans="2:7" ht="13.5" thickBot="1" x14ac:dyDescent="0.25">
      <c r="B59" s="359"/>
      <c r="C59" s="33" t="s">
        <v>39</v>
      </c>
      <c r="D59" s="693">
        <f>SUM(D56:F58)</f>
        <v>2958.7367311271214</v>
      </c>
      <c r="E59" s="694"/>
      <c r="F59" s="695"/>
    </row>
    <row r="60" spans="2:7" ht="13.5" thickBot="1" x14ac:dyDescent="0.25">
      <c r="C60" s="17"/>
      <c r="D60" s="18"/>
      <c r="E60" s="18"/>
      <c r="F60" s="18"/>
    </row>
    <row r="61" spans="2:7" ht="13.5" thickBot="1" x14ac:dyDescent="0.25">
      <c r="B61" s="337"/>
      <c r="C61" s="696" t="s">
        <v>66</v>
      </c>
      <c r="D61" s="697"/>
      <c r="E61" s="697"/>
      <c r="F61" s="698"/>
    </row>
    <row r="62" spans="2:7" ht="13.5" thickBot="1" x14ac:dyDescent="0.25">
      <c r="B62" s="8">
        <v>3</v>
      </c>
      <c r="C62" s="23" t="s">
        <v>67</v>
      </c>
      <c r="D62" s="699" t="s">
        <v>20</v>
      </c>
      <c r="E62" s="700"/>
      <c r="F62" s="701"/>
    </row>
    <row r="63" spans="2:7" x14ac:dyDescent="0.2">
      <c r="B63" s="9" t="s">
        <v>2</v>
      </c>
      <c r="C63" s="39" t="s">
        <v>68</v>
      </c>
      <c r="D63" s="702">
        <f>D20*0.417%</f>
        <v>11.917151858181818</v>
      </c>
      <c r="E63" s="703"/>
      <c r="F63" s="704"/>
      <c r="G63" s="367">
        <v>4.1200000000000004E-3</v>
      </c>
    </row>
    <row r="64" spans="2:7" x14ac:dyDescent="0.2">
      <c r="B64" s="9" t="s">
        <v>4</v>
      </c>
      <c r="C64" s="35" t="s">
        <v>69</v>
      </c>
      <c r="D64" s="651">
        <f>D63*(D39/100)</f>
        <v>0.95337214865454545</v>
      </c>
      <c r="E64" s="651"/>
      <c r="F64" s="652"/>
      <c r="G64" s="367">
        <f>(G63*G39)</f>
        <v>3.2960000000000004E-4</v>
      </c>
    </row>
    <row r="65" spans="2:8" x14ac:dyDescent="0.2">
      <c r="B65" s="9" t="s">
        <v>6</v>
      </c>
      <c r="C65" s="35" t="s">
        <v>70</v>
      </c>
      <c r="D65" s="651">
        <f>$D$20*(0.032)</f>
        <v>91.450565818181815</v>
      </c>
      <c r="E65" s="651"/>
      <c r="F65" s="652"/>
      <c r="G65" s="367">
        <v>3.2000000000000002E-3</v>
      </c>
    </row>
    <row r="66" spans="2:8" x14ac:dyDescent="0.2">
      <c r="B66" s="9" t="s">
        <v>8</v>
      </c>
      <c r="C66" s="35" t="s">
        <v>71</v>
      </c>
      <c r="D66" s="651">
        <f>D20*1.944%</f>
        <v>55.556218734545446</v>
      </c>
      <c r="E66" s="651"/>
      <c r="F66" s="652"/>
      <c r="G66" s="367">
        <v>1.9439999999999999E-2</v>
      </c>
    </row>
    <row r="67" spans="2:8" ht="25.5" x14ac:dyDescent="0.2">
      <c r="B67" s="9" t="s">
        <v>25</v>
      </c>
      <c r="C67" s="35" t="s">
        <v>72</v>
      </c>
      <c r="D67" s="651">
        <f>D66*(D40/100)</f>
        <v>21.28969858126516</v>
      </c>
      <c r="E67" s="651"/>
      <c r="F67" s="652"/>
      <c r="G67" s="367">
        <f>(G66*G57)</f>
        <v>7.4494080000000002E-3</v>
      </c>
    </row>
    <row r="68" spans="2:8" x14ac:dyDescent="0.2">
      <c r="B68" s="9" t="s">
        <v>27</v>
      </c>
      <c r="C68" s="35" t="s">
        <v>73</v>
      </c>
      <c r="D68" s="651">
        <f>$D$20*(0.008)</f>
        <v>22.862641454545454</v>
      </c>
      <c r="E68" s="651"/>
      <c r="F68" s="652"/>
      <c r="G68" s="367">
        <v>8.0000000000000002E-3</v>
      </c>
    </row>
    <row r="69" spans="2:8" ht="13.5" thickBot="1" x14ac:dyDescent="0.25">
      <c r="B69" s="340"/>
      <c r="C69" s="24" t="s">
        <v>53</v>
      </c>
      <c r="D69" s="680">
        <f>SUM(D63:F68)</f>
        <v>204.02964859537423</v>
      </c>
      <c r="E69" s="719"/>
      <c r="F69" s="720"/>
      <c r="G69" s="367">
        <f>SUM(G63:G68)</f>
        <v>4.2539007999999996E-2</v>
      </c>
    </row>
    <row r="70" spans="2:8" ht="13.5" thickBot="1" x14ac:dyDescent="0.25"/>
    <row r="71" spans="2:8" ht="13.5" thickBot="1" x14ac:dyDescent="0.25">
      <c r="B71" s="368"/>
      <c r="C71" s="715" t="s">
        <v>74</v>
      </c>
      <c r="D71" s="697"/>
      <c r="E71" s="697"/>
      <c r="F71" s="698"/>
    </row>
    <row r="72" spans="2:8" ht="13.5" thickBot="1" x14ac:dyDescent="0.25">
      <c r="B72" s="369"/>
      <c r="C72" s="716" t="s">
        <v>75</v>
      </c>
      <c r="D72" s="716"/>
      <c r="E72" s="716"/>
      <c r="F72" s="717"/>
    </row>
    <row r="73" spans="2:8" x14ac:dyDescent="0.2">
      <c r="B73" s="36" t="s">
        <v>76</v>
      </c>
      <c r="C73" s="23" t="s">
        <v>77</v>
      </c>
      <c r="D73" s="676" t="s">
        <v>20</v>
      </c>
      <c r="E73" s="718"/>
      <c r="F73" s="677"/>
    </row>
    <row r="74" spans="2:8" x14ac:dyDescent="0.2">
      <c r="B74" s="9" t="s">
        <v>2</v>
      </c>
      <c r="C74" s="35" t="s">
        <v>78</v>
      </c>
      <c r="D74" s="651">
        <f>D20*1.62%</f>
        <v>46.296848945454549</v>
      </c>
      <c r="E74" s="651"/>
      <c r="F74" s="652"/>
      <c r="G74" s="367">
        <v>1.6199999999999999E-2</v>
      </c>
      <c r="H74" s="370"/>
    </row>
    <row r="75" spans="2:8" x14ac:dyDescent="0.2">
      <c r="B75" s="9" t="s">
        <v>4</v>
      </c>
      <c r="C75" s="35" t="s">
        <v>77</v>
      </c>
      <c r="D75" s="651">
        <f>(D20)*0.82%</f>
        <v>23.434207490909088</v>
      </c>
      <c r="E75" s="651"/>
      <c r="F75" s="652"/>
      <c r="G75" s="367">
        <v>8.2000000000000007E-3</v>
      </c>
      <c r="H75" s="370"/>
    </row>
    <row r="76" spans="2:8" x14ac:dyDescent="0.2">
      <c r="B76" s="9" t="s">
        <v>6</v>
      </c>
      <c r="C76" s="35" t="s">
        <v>79</v>
      </c>
      <c r="D76" s="651">
        <f>(D20)*0.02%</f>
        <v>0.57156603636363634</v>
      </c>
      <c r="E76" s="651"/>
      <c r="F76" s="652"/>
      <c r="G76" s="367">
        <v>2.0000000000000001E-4</v>
      </c>
      <c r="H76" s="370"/>
    </row>
    <row r="77" spans="2:8" x14ac:dyDescent="0.2">
      <c r="B77" s="9" t="s">
        <v>8</v>
      </c>
      <c r="C77" s="35" t="s">
        <v>80</v>
      </c>
      <c r="D77" s="651">
        <f>(D20)*0.03%</f>
        <v>0.8573490545454544</v>
      </c>
      <c r="E77" s="651"/>
      <c r="F77" s="652"/>
      <c r="G77" s="367">
        <v>2.9999999999999997E-4</v>
      </c>
      <c r="H77" s="370"/>
    </row>
    <row r="78" spans="2:8" x14ac:dyDescent="0.2">
      <c r="B78" s="9" t="s">
        <v>25</v>
      </c>
      <c r="C78" s="35" t="s">
        <v>81</v>
      </c>
      <c r="D78" s="651">
        <f>((D74+D25+D26))*4*0.9*(0.0624/12)</f>
        <v>11.266801159365817</v>
      </c>
      <c r="E78" s="651"/>
      <c r="F78" s="652"/>
      <c r="G78" s="367">
        <v>1.8800000000000001E-2</v>
      </c>
      <c r="H78" s="370"/>
    </row>
    <row r="79" spans="2:8" x14ac:dyDescent="0.2">
      <c r="B79" s="9" t="s">
        <v>27</v>
      </c>
      <c r="C79" s="35" t="s">
        <v>82</v>
      </c>
      <c r="D79" s="651">
        <f>(D20)*1.66%</f>
        <v>47.439981018181818</v>
      </c>
      <c r="E79" s="651"/>
      <c r="F79" s="652"/>
      <c r="G79" s="367">
        <v>1.66E-2</v>
      </c>
      <c r="H79" s="370"/>
    </row>
    <row r="80" spans="2:8" x14ac:dyDescent="0.2">
      <c r="B80" s="9" t="s">
        <v>29</v>
      </c>
      <c r="C80" s="35" t="s">
        <v>30</v>
      </c>
      <c r="D80" s="651">
        <v>0</v>
      </c>
      <c r="E80" s="651"/>
      <c r="F80" s="652"/>
      <c r="G80" s="367">
        <f>SUM(G74:G79)</f>
        <v>6.0300000000000006E-2</v>
      </c>
      <c r="H80" s="370">
        <f>G80*D41</f>
        <v>2.3107563000000001E-2</v>
      </c>
    </row>
    <row r="81" spans="2:8" ht="25.5" x14ac:dyDescent="0.2">
      <c r="B81" s="9"/>
      <c r="C81" s="35" t="s">
        <v>83</v>
      </c>
      <c r="D81" s="651">
        <f>G81*D41</f>
        <v>49.76623868722421</v>
      </c>
      <c r="E81" s="651"/>
      <c r="F81" s="652"/>
      <c r="G81" s="371">
        <f>D74+D75+D76+D77+D78+D79</f>
        <v>129.86675370482035</v>
      </c>
      <c r="H81" s="370">
        <f>G80+H80</f>
        <v>8.3407563000000004E-2</v>
      </c>
    </row>
    <row r="82" spans="2:8" ht="13.5" thickBot="1" x14ac:dyDescent="0.25">
      <c r="B82" s="340"/>
      <c r="C82" s="24" t="s">
        <v>53</v>
      </c>
      <c r="D82" s="680">
        <f>SUM(D74:F81)</f>
        <v>179.63299239204457</v>
      </c>
      <c r="E82" s="719"/>
      <c r="F82" s="720"/>
    </row>
    <row r="83" spans="2:8" ht="13.5" thickBot="1" x14ac:dyDescent="0.25">
      <c r="H83" s="372">
        <f>H81+G69+G57+G56</f>
        <v>0.77804259500000006</v>
      </c>
    </row>
    <row r="84" spans="2:8" ht="13.5" thickBot="1" x14ac:dyDescent="0.25">
      <c r="B84" s="349"/>
      <c r="C84" s="721" t="s">
        <v>84</v>
      </c>
      <c r="D84" s="722"/>
      <c r="E84" s="722"/>
      <c r="F84" s="723"/>
    </row>
    <row r="85" spans="2:8" x14ac:dyDescent="0.2">
      <c r="B85" s="27" t="s">
        <v>85</v>
      </c>
      <c r="C85" s="40" t="s">
        <v>59</v>
      </c>
      <c r="D85" s="724" t="s">
        <v>20</v>
      </c>
      <c r="E85" s="724"/>
      <c r="F85" s="725"/>
    </row>
    <row r="86" spans="2:8" ht="13.5" thickBot="1" x14ac:dyDescent="0.25">
      <c r="B86" s="373" t="s">
        <v>2</v>
      </c>
      <c r="C86" s="374" t="s">
        <v>86</v>
      </c>
      <c r="D86" s="726"/>
      <c r="E86" s="727"/>
      <c r="F86" s="728"/>
    </row>
    <row r="87" spans="2:8" ht="13.5" thickBot="1" x14ac:dyDescent="0.25">
      <c r="B87" s="349"/>
      <c r="C87" s="26" t="s">
        <v>53</v>
      </c>
      <c r="D87" s="729">
        <f>SUM(D86)</f>
        <v>0</v>
      </c>
      <c r="E87" s="729"/>
      <c r="F87" s="730"/>
      <c r="G87" s="11"/>
    </row>
    <row r="88" spans="2:8" ht="13.5" thickBot="1" x14ac:dyDescent="0.25"/>
    <row r="89" spans="2:8" ht="13.5" thickBot="1" x14ac:dyDescent="0.25">
      <c r="B89" s="359"/>
      <c r="C89" s="707" t="s">
        <v>87</v>
      </c>
      <c r="D89" s="708"/>
      <c r="E89" s="708"/>
      <c r="F89" s="709"/>
    </row>
    <row r="90" spans="2:8" ht="13.5" thickBot="1" x14ac:dyDescent="0.25">
      <c r="B90" s="28">
        <v>4</v>
      </c>
      <c r="C90" s="20" t="s">
        <v>88</v>
      </c>
      <c r="D90" s="710" t="s">
        <v>36</v>
      </c>
      <c r="E90" s="710"/>
      <c r="F90" s="711"/>
    </row>
    <row r="91" spans="2:8" s="376" customFormat="1" x14ac:dyDescent="0.2">
      <c r="B91" s="361" t="s">
        <v>76</v>
      </c>
      <c r="C91" s="362" t="s">
        <v>77</v>
      </c>
      <c r="D91" s="712">
        <f>D82</f>
        <v>179.63299239204457</v>
      </c>
      <c r="E91" s="713"/>
      <c r="F91" s="714"/>
      <c r="G91" s="375"/>
    </row>
    <row r="92" spans="2:8" ht="13.5" thickBot="1" x14ac:dyDescent="0.25">
      <c r="B92" s="364" t="s">
        <v>85</v>
      </c>
      <c r="C92" s="365" t="s">
        <v>59</v>
      </c>
      <c r="D92" s="685">
        <f>D87</f>
        <v>0</v>
      </c>
      <c r="E92" s="686"/>
      <c r="F92" s="687"/>
    </row>
    <row r="93" spans="2:8" ht="13.5" thickBot="1" x14ac:dyDescent="0.25">
      <c r="B93" s="359"/>
      <c r="C93" s="265" t="s">
        <v>39</v>
      </c>
      <c r="D93" s="694">
        <f>SUM(D91:F92)</f>
        <v>179.63299239204457</v>
      </c>
      <c r="E93" s="694"/>
      <c r="F93" s="695"/>
    </row>
    <row r="94" spans="2:8" ht="13.5" thickBot="1" x14ac:dyDescent="0.25">
      <c r="G94" s="5"/>
    </row>
    <row r="95" spans="2:8" ht="13.5" thickBot="1" x14ac:dyDescent="0.25">
      <c r="B95" s="377"/>
      <c r="C95" s="736" t="s">
        <v>89</v>
      </c>
      <c r="D95" s="737"/>
      <c r="E95" s="737"/>
      <c r="F95" s="738"/>
      <c r="G95" s="5"/>
    </row>
    <row r="96" spans="2:8" ht="13.5" thickBot="1" x14ac:dyDescent="0.25">
      <c r="B96" s="31">
        <v>5</v>
      </c>
      <c r="C96" s="25" t="s">
        <v>90</v>
      </c>
      <c r="D96" s="739" t="s">
        <v>20</v>
      </c>
      <c r="E96" s="739"/>
      <c r="F96" s="740"/>
      <c r="G96" s="5"/>
    </row>
    <row r="97" spans="2:7" x14ac:dyDescent="0.2">
      <c r="B97" s="30" t="s">
        <v>2</v>
      </c>
      <c r="C97" s="378" t="s">
        <v>91</v>
      </c>
      <c r="D97" s="741">
        <f>Uniformes!F15</f>
        <v>41.613888888888887</v>
      </c>
      <c r="E97" s="742"/>
      <c r="F97" s="743"/>
      <c r="G97" s="5"/>
    </row>
    <row r="98" spans="2:7" x14ac:dyDescent="0.2">
      <c r="B98" s="30" t="s">
        <v>4</v>
      </c>
      <c r="C98" s="379" t="s">
        <v>92</v>
      </c>
      <c r="D98" s="731">
        <f>Materiais!E8</f>
        <v>7.5037499999999993</v>
      </c>
      <c r="E98" s="731"/>
      <c r="F98" s="732"/>
      <c r="G98" s="5"/>
    </row>
    <row r="99" spans="2:7" x14ac:dyDescent="0.2">
      <c r="B99" s="30" t="s">
        <v>6</v>
      </c>
      <c r="C99" s="379" t="s">
        <v>93</v>
      </c>
      <c r="D99" s="731">
        <f>Equipamentos!F7</f>
        <v>19.340450000000004</v>
      </c>
      <c r="E99" s="731"/>
      <c r="F99" s="732"/>
      <c r="G99" s="5"/>
    </row>
    <row r="100" spans="2:7" ht="13.5" thickBot="1" x14ac:dyDescent="0.25">
      <c r="B100" s="380"/>
      <c r="C100" s="29" t="s">
        <v>94</v>
      </c>
      <c r="D100" s="733">
        <f>SUM(D97:F99)</f>
        <v>68.458088888888881</v>
      </c>
      <c r="E100" s="733"/>
      <c r="F100" s="734"/>
      <c r="G100" s="5"/>
    </row>
    <row r="101" spans="2:7" ht="13.5" thickBot="1" x14ac:dyDescent="0.25">
      <c r="B101" s="272"/>
      <c r="C101" s="21"/>
      <c r="D101" s="22"/>
      <c r="E101" s="22"/>
      <c r="F101" s="22"/>
      <c r="G101" s="5"/>
    </row>
    <row r="102" spans="2:7" ht="13.5" thickBot="1" x14ac:dyDescent="0.25">
      <c r="B102" s="381"/>
      <c r="C102" s="735" t="s">
        <v>95</v>
      </c>
      <c r="D102" s="441"/>
      <c r="E102" s="441"/>
      <c r="F102" s="441"/>
      <c r="G102" s="5"/>
    </row>
    <row r="103" spans="2:7" ht="13.5" thickBot="1" x14ac:dyDescent="0.25">
      <c r="B103" s="31">
        <v>6</v>
      </c>
      <c r="C103" s="23" t="s">
        <v>96</v>
      </c>
      <c r="D103" s="15" t="s">
        <v>43</v>
      </c>
      <c r="E103" s="676" t="s">
        <v>20</v>
      </c>
      <c r="F103" s="677"/>
      <c r="G103" s="5"/>
    </row>
    <row r="104" spans="2:7" x14ac:dyDescent="0.2">
      <c r="B104" s="30" t="s">
        <v>2</v>
      </c>
      <c r="C104" s="39" t="s">
        <v>97</v>
      </c>
      <c r="D104" s="409">
        <v>0.3</v>
      </c>
      <c r="E104" s="678">
        <f>(D121)*D104/100</f>
        <v>18.806062928464833</v>
      </c>
      <c r="F104" s="679"/>
      <c r="G104" s="5"/>
    </row>
    <row r="105" spans="2:7" x14ac:dyDescent="0.2">
      <c r="B105" s="30" t="s">
        <v>4</v>
      </c>
      <c r="C105" s="35" t="s">
        <v>98</v>
      </c>
      <c r="D105" s="410">
        <v>0.2</v>
      </c>
      <c r="E105" s="651">
        <f>(D121+E104)*D105/100</f>
        <v>12.574987411500151</v>
      </c>
      <c r="F105" s="652"/>
      <c r="G105" s="5"/>
    </row>
    <row r="106" spans="2:7" x14ac:dyDescent="0.2">
      <c r="B106" s="30" t="s">
        <v>6</v>
      </c>
      <c r="C106" s="35" t="s">
        <v>99</v>
      </c>
      <c r="D106" s="266"/>
      <c r="E106" s="651"/>
      <c r="F106" s="652"/>
      <c r="G106" s="5"/>
    </row>
    <row r="107" spans="2:7" x14ac:dyDescent="0.2">
      <c r="B107" s="30"/>
      <c r="C107" s="35" t="s">
        <v>160</v>
      </c>
      <c r="D107" s="266">
        <v>3.65</v>
      </c>
      <c r="E107" s="651">
        <f>((D121+E104+E105)/(1-(D107+D109)/100))*(D107/100)</f>
        <v>251.72688264958677</v>
      </c>
      <c r="F107" s="652"/>
      <c r="G107" s="5"/>
    </row>
    <row r="108" spans="2:7" x14ac:dyDescent="0.2">
      <c r="B108" s="30"/>
      <c r="C108" s="35" t="s">
        <v>100</v>
      </c>
      <c r="D108" s="266"/>
      <c r="E108" s="651"/>
      <c r="F108" s="652"/>
      <c r="G108" s="5"/>
    </row>
    <row r="109" spans="2:7" x14ac:dyDescent="0.2">
      <c r="B109" s="30"/>
      <c r="C109" s="35" t="s">
        <v>101</v>
      </c>
      <c r="D109" s="410">
        <v>5</v>
      </c>
      <c r="E109" s="651">
        <f>((D121+E104+E105)/(1-(D107+D109)/100))*(D109/100)</f>
        <v>344.83134609532436</v>
      </c>
      <c r="F109" s="652"/>
      <c r="G109" s="5"/>
    </row>
    <row r="110" spans="2:7" x14ac:dyDescent="0.2">
      <c r="B110" s="30"/>
      <c r="C110" s="35" t="s">
        <v>102</v>
      </c>
      <c r="D110" s="266"/>
      <c r="E110" s="651"/>
      <c r="F110" s="652"/>
      <c r="G110" s="5"/>
    </row>
    <row r="111" spans="2:7" ht="13.5" thickBot="1" x14ac:dyDescent="0.25">
      <c r="B111" s="382"/>
      <c r="C111" s="24" t="s">
        <v>53</v>
      </c>
      <c r="D111" s="411">
        <f>SUM(D104:D110)</f>
        <v>9.15</v>
      </c>
      <c r="E111" s="680">
        <f>SUM(E104:F110)</f>
        <v>627.93927908487603</v>
      </c>
      <c r="F111" s="720"/>
      <c r="G111" s="5"/>
    </row>
    <row r="112" spans="2:7" x14ac:dyDescent="0.2">
      <c r="B112" s="272"/>
      <c r="C112" s="21"/>
      <c r="D112" s="22"/>
      <c r="E112" s="22"/>
      <c r="F112" s="22"/>
      <c r="G112" s="5"/>
    </row>
    <row r="113" spans="2:6" s="376" customFormat="1" x14ac:dyDescent="0.2">
      <c r="B113" s="5"/>
      <c r="C113" s="640" t="s">
        <v>103</v>
      </c>
      <c r="D113" s="640"/>
      <c r="E113" s="640"/>
      <c r="F113" s="640"/>
    </row>
    <row r="114" spans="2:6" s="376" customFormat="1" ht="13.5" thickBot="1" x14ac:dyDescent="0.25">
      <c r="B114" s="5"/>
      <c r="C114" s="10"/>
      <c r="D114" s="5"/>
      <c r="E114" s="5"/>
      <c r="F114" s="5"/>
    </row>
    <row r="115" spans="2:6" s="376" customFormat="1" ht="26.25" thickBot="1" x14ac:dyDescent="0.25">
      <c r="B115" s="337"/>
      <c r="C115" s="23" t="s">
        <v>104</v>
      </c>
      <c r="D115" s="676" t="s">
        <v>20</v>
      </c>
      <c r="E115" s="718"/>
      <c r="F115" s="677"/>
    </row>
    <row r="116" spans="2:6" s="376" customFormat="1" x14ac:dyDescent="0.2">
      <c r="B116" s="383" t="s">
        <v>2</v>
      </c>
      <c r="C116" s="39" t="s">
        <v>105</v>
      </c>
      <c r="D116" s="744">
        <f>D20</f>
        <v>2857.8301818181817</v>
      </c>
      <c r="E116" s="744"/>
      <c r="F116" s="745"/>
    </row>
    <row r="117" spans="2:6" s="376" customFormat="1" ht="25.5" x14ac:dyDescent="0.2">
      <c r="B117" s="383" t="s">
        <v>4</v>
      </c>
      <c r="C117" s="35" t="s">
        <v>106</v>
      </c>
      <c r="D117" s="746">
        <f>D59</f>
        <v>2958.7367311271214</v>
      </c>
      <c r="E117" s="746"/>
      <c r="F117" s="747"/>
    </row>
    <row r="118" spans="2:6" s="376" customFormat="1" x14ac:dyDescent="0.2">
      <c r="B118" s="383" t="s">
        <v>6</v>
      </c>
      <c r="C118" s="35" t="s">
        <v>107</v>
      </c>
      <c r="D118" s="746">
        <f>D69</f>
        <v>204.02964859537423</v>
      </c>
      <c r="E118" s="746"/>
      <c r="F118" s="747"/>
    </row>
    <row r="119" spans="2:6" s="376" customFormat="1" ht="25.5" x14ac:dyDescent="0.2">
      <c r="B119" s="383" t="s">
        <v>8</v>
      </c>
      <c r="C119" s="35" t="s">
        <v>74</v>
      </c>
      <c r="D119" s="746">
        <f>D93</f>
        <v>179.63299239204457</v>
      </c>
      <c r="E119" s="746"/>
      <c r="F119" s="747"/>
    </row>
    <row r="120" spans="2:6" s="376" customFormat="1" x14ac:dyDescent="0.2">
      <c r="B120" s="383" t="s">
        <v>25</v>
      </c>
      <c r="C120" s="35" t="s">
        <v>108</v>
      </c>
      <c r="D120" s="753">
        <f>D100</f>
        <v>68.458088888888881</v>
      </c>
      <c r="E120" s="754"/>
      <c r="F120" s="755"/>
    </row>
    <row r="121" spans="2:6" s="376" customFormat="1" x14ac:dyDescent="0.2">
      <c r="B121" s="383"/>
      <c r="C121" s="37" t="s">
        <v>109</v>
      </c>
      <c r="D121" s="756">
        <f>SUM(D116:F120)</f>
        <v>6268.687642821611</v>
      </c>
      <c r="E121" s="757"/>
      <c r="F121" s="758"/>
    </row>
    <row r="122" spans="2:6" s="376" customFormat="1" x14ac:dyDescent="0.2">
      <c r="B122" s="383" t="s">
        <v>27</v>
      </c>
      <c r="C122" s="384" t="s">
        <v>110</v>
      </c>
      <c r="D122" s="753">
        <f>E111</f>
        <v>627.93927908487603</v>
      </c>
      <c r="E122" s="754"/>
      <c r="F122" s="755"/>
    </row>
    <row r="123" spans="2:6" s="376" customFormat="1" ht="13.5" thickBot="1" x14ac:dyDescent="0.25">
      <c r="B123" s="383"/>
      <c r="C123" s="24" t="s">
        <v>111</v>
      </c>
      <c r="D123" s="759">
        <f>TRUNC(D121+D122,2)</f>
        <v>6896.62</v>
      </c>
      <c r="E123" s="760"/>
      <c r="F123" s="761"/>
    </row>
    <row r="124" spans="2:6" s="376" customFormat="1" ht="13.5" thickBot="1" x14ac:dyDescent="0.25">
      <c r="B124" s="340"/>
      <c r="C124" s="32" t="s">
        <v>112</v>
      </c>
      <c r="D124" s="657">
        <f>D123/D20</f>
        <v>2.4132364630610406</v>
      </c>
      <c r="E124" s="658"/>
      <c r="F124" s="659"/>
    </row>
    <row r="125" spans="2:6" s="376" customFormat="1" x14ac:dyDescent="0.2">
      <c r="B125" s="5"/>
      <c r="C125" s="145"/>
      <c r="D125" s="22"/>
      <c r="E125" s="22"/>
      <c r="F125" s="22"/>
    </row>
    <row r="126" spans="2:6" s="376" customFormat="1" x14ac:dyDescent="0.2">
      <c r="B126" s="5"/>
      <c r="C126" s="10"/>
      <c r="D126" s="5"/>
      <c r="E126" s="5"/>
      <c r="F126" s="5"/>
    </row>
    <row r="127" spans="2:6" ht="15.75" x14ac:dyDescent="0.25">
      <c r="B127" s="748" t="s">
        <v>228</v>
      </c>
      <c r="C127" s="748"/>
      <c r="D127" s="748"/>
      <c r="E127" s="748"/>
      <c r="F127" s="748"/>
    </row>
    <row r="128" spans="2:6" ht="15.75" x14ac:dyDescent="0.25">
      <c r="B128" s="749" t="s">
        <v>229</v>
      </c>
      <c r="C128" s="749"/>
      <c r="D128" s="749"/>
      <c r="E128" s="749"/>
      <c r="F128" s="749"/>
    </row>
    <row r="129" spans="2:6" ht="15.75" x14ac:dyDescent="0.25">
      <c r="B129" s="385"/>
      <c r="C129" s="750" t="s">
        <v>230</v>
      </c>
      <c r="D129" s="751"/>
      <c r="E129" s="752"/>
      <c r="F129" s="386" t="s">
        <v>231</v>
      </c>
    </row>
    <row r="130" spans="2:6" ht="15" x14ac:dyDescent="0.2">
      <c r="B130" s="387" t="s">
        <v>2</v>
      </c>
      <c r="C130" s="388" t="s">
        <v>232</v>
      </c>
      <c r="D130" s="389"/>
      <c r="E130" s="390"/>
      <c r="F130" s="391">
        <f>D123</f>
        <v>6896.62</v>
      </c>
    </row>
    <row r="131" spans="2:6" ht="15" x14ac:dyDescent="0.2">
      <c r="B131" s="387" t="s">
        <v>4</v>
      </c>
      <c r="C131" s="392" t="s">
        <v>225</v>
      </c>
      <c r="D131" s="393"/>
      <c r="E131" s="393"/>
      <c r="F131" s="391">
        <f>F130*2</f>
        <v>13793.24</v>
      </c>
    </row>
    <row r="132" spans="2:6" ht="15" x14ac:dyDescent="0.2">
      <c r="B132" s="387" t="s">
        <v>6</v>
      </c>
      <c r="C132" s="388" t="s">
        <v>226</v>
      </c>
      <c r="D132" s="389"/>
      <c r="E132" s="390"/>
      <c r="F132" s="394">
        <v>1</v>
      </c>
    </row>
    <row r="133" spans="2:6" ht="15" x14ac:dyDescent="0.2">
      <c r="B133" s="387" t="s">
        <v>8</v>
      </c>
      <c r="C133" s="395" t="s">
        <v>227</v>
      </c>
      <c r="D133" s="396"/>
      <c r="E133" s="397"/>
      <c r="F133" s="391">
        <f>F131*F132</f>
        <v>13793.24</v>
      </c>
    </row>
    <row r="134" spans="2:6" ht="15" x14ac:dyDescent="0.2">
      <c r="B134" s="387" t="s">
        <v>25</v>
      </c>
      <c r="C134" s="398" t="s">
        <v>249</v>
      </c>
      <c r="D134" s="399"/>
      <c r="E134" s="400"/>
      <c r="F134" s="391">
        <f>F133*12</f>
        <v>165518.88</v>
      </c>
    </row>
    <row r="137" spans="2:6" x14ac:dyDescent="0.2">
      <c r="F137" s="401"/>
    </row>
  </sheetData>
  <mergeCells count="113">
    <mergeCell ref="B127:F127"/>
    <mergeCell ref="B128:F128"/>
    <mergeCell ref="C129:E129"/>
    <mergeCell ref="D119:F119"/>
    <mergeCell ref="D120:F120"/>
    <mergeCell ref="D121:F121"/>
    <mergeCell ref="D122:F122"/>
    <mergeCell ref="D123:F123"/>
    <mergeCell ref="D124:F124"/>
    <mergeCell ref="E111:F111"/>
    <mergeCell ref="C113:F113"/>
    <mergeCell ref="D115:F115"/>
    <mergeCell ref="D116:F116"/>
    <mergeCell ref="D117:F117"/>
    <mergeCell ref="D118:F118"/>
    <mergeCell ref="E105:F105"/>
    <mergeCell ref="E106:F106"/>
    <mergeCell ref="E107:F107"/>
    <mergeCell ref="E108:F108"/>
    <mergeCell ref="E109:F109"/>
    <mergeCell ref="E110:F110"/>
    <mergeCell ref="D98:F98"/>
    <mergeCell ref="D99:F99"/>
    <mergeCell ref="D100:F100"/>
    <mergeCell ref="C102:F102"/>
    <mergeCell ref="E103:F103"/>
    <mergeCell ref="E104:F104"/>
    <mergeCell ref="D91:F91"/>
    <mergeCell ref="D92:F92"/>
    <mergeCell ref="D93:F93"/>
    <mergeCell ref="C95:F95"/>
    <mergeCell ref="D96:F96"/>
    <mergeCell ref="D97:F97"/>
    <mergeCell ref="C84:F84"/>
    <mergeCell ref="D85:F85"/>
    <mergeCell ref="D86:F86"/>
    <mergeCell ref="D87:F87"/>
    <mergeCell ref="C89:F89"/>
    <mergeCell ref="D90:F90"/>
    <mergeCell ref="D77:F77"/>
    <mergeCell ref="D78:F78"/>
    <mergeCell ref="D79:F79"/>
    <mergeCell ref="D80:F80"/>
    <mergeCell ref="D81:F81"/>
    <mergeCell ref="D82:F82"/>
    <mergeCell ref="C71:F71"/>
    <mergeCell ref="C72:F72"/>
    <mergeCell ref="D73:F73"/>
    <mergeCell ref="D74:F74"/>
    <mergeCell ref="D75:F75"/>
    <mergeCell ref="D76:F76"/>
    <mergeCell ref="D64:F64"/>
    <mergeCell ref="D65:F65"/>
    <mergeCell ref="D66:F66"/>
    <mergeCell ref="D67:F67"/>
    <mergeCell ref="D68:F68"/>
    <mergeCell ref="D69:F69"/>
    <mergeCell ref="D59:F59"/>
    <mergeCell ref="C61:F61"/>
    <mergeCell ref="D62:F62"/>
    <mergeCell ref="D63:F63"/>
    <mergeCell ref="D50:F50"/>
    <mergeCell ref="D51:F51"/>
    <mergeCell ref="D52:F52"/>
    <mergeCell ref="C54:F54"/>
    <mergeCell ref="D55:F55"/>
    <mergeCell ref="D56:F56"/>
    <mergeCell ref="D46:F46"/>
    <mergeCell ref="D47:F47"/>
    <mergeCell ref="D48:F48"/>
    <mergeCell ref="D49:F49"/>
    <mergeCell ref="E39:F39"/>
    <mergeCell ref="E40:F40"/>
    <mergeCell ref="C43:F43"/>
    <mergeCell ref="D57:F57"/>
    <mergeCell ref="D58:F58"/>
    <mergeCell ref="D44:F44"/>
    <mergeCell ref="D45:F45"/>
    <mergeCell ref="E37:F37"/>
    <mergeCell ref="E38:F38"/>
    <mergeCell ref="D20:F20"/>
    <mergeCell ref="C21:F21"/>
    <mergeCell ref="E36:F36"/>
    <mergeCell ref="D28:F28"/>
    <mergeCell ref="D29:F29"/>
    <mergeCell ref="C22:F22"/>
    <mergeCell ref="C23:F23"/>
    <mergeCell ref="D24:F24"/>
    <mergeCell ref="D25:F25"/>
    <mergeCell ref="D26:F26"/>
    <mergeCell ref="D27:F27"/>
    <mergeCell ref="C30:F30"/>
    <mergeCell ref="E31:F31"/>
    <mergeCell ref="E32:F32"/>
    <mergeCell ref="E33:F33"/>
    <mergeCell ref="E34:F34"/>
    <mergeCell ref="E35:F35"/>
    <mergeCell ref="D19:F19"/>
    <mergeCell ref="D8:F8"/>
    <mergeCell ref="C11:F11"/>
    <mergeCell ref="D12:F12"/>
    <mergeCell ref="D13:F13"/>
    <mergeCell ref="D14:F14"/>
    <mergeCell ref="D15:F15"/>
    <mergeCell ref="C1:F1"/>
    <mergeCell ref="D3:F3"/>
    <mergeCell ref="D4:F4"/>
    <mergeCell ref="D5:F5"/>
    <mergeCell ref="D6:F6"/>
    <mergeCell ref="D7:F7"/>
    <mergeCell ref="D16:F16"/>
    <mergeCell ref="D17:F17"/>
    <mergeCell ref="D18:F18"/>
  </mergeCells>
  <pageMargins left="0.78749999999999998" right="0.78749999999999998" top="1.0527777777777778" bottom="1.0527777777777778" header="0.78749999999999998" footer="0.78749999999999998"/>
  <pageSetup paperSize="9" scale="76" firstPageNumber="0" fitToHeight="0" orientation="portrait" r:id="rId1"/>
  <headerFooter alignWithMargins="0">
    <oddHeader>&amp;C&amp;"Times New Roman,Normal"&amp;12&amp;A</oddHeader>
    <oddFooter>&amp;C&amp;"Times New Roman,Normal"&amp;12Página &amp;P</oddFooter>
  </headerFooter>
  <rowBreaks count="1" manualBreakCount="1">
    <brk id="82" min="1" max="5" man="1"/>
  </rowBreaks>
  <colBreaks count="1" manualBreakCount="1">
    <brk id="6" min="7" max="139" man="1"/>
  </col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5A18E274C17B244899BE4791DDADA6A" ma:contentTypeVersion="4" ma:contentTypeDescription="Crie um novo documento." ma:contentTypeScope="" ma:versionID="8a03eda2f7b6039917905f51b7b4c565">
  <xsd:schema xmlns:xsd="http://www.w3.org/2001/XMLSchema" xmlns:xs="http://www.w3.org/2001/XMLSchema" xmlns:p="http://schemas.microsoft.com/office/2006/metadata/properties" xmlns:ns2="9a6c27eb-32da-4d3f-a3a9-33e45052b70e" xmlns:ns3="11d2184b-c02b-4a5e-bbd0-423a16a9adca" targetNamespace="http://schemas.microsoft.com/office/2006/metadata/properties" ma:root="true" ma:fieldsID="f3f68d09d467aeaea0ac96688966be96" ns2:_="" ns3:_="">
    <xsd:import namespace="9a6c27eb-32da-4d3f-a3a9-33e45052b70e"/>
    <xsd:import namespace="11d2184b-c02b-4a5e-bbd0-423a16a9ad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c27eb-32da-4d3f-a3a9-33e45052b7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d2184b-c02b-4a5e-bbd0-423a16a9adc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E9E772-996F-4A4D-9EB9-8B1D533802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6c27eb-32da-4d3f-a3a9-33e45052b70e"/>
    <ds:schemaRef ds:uri="11d2184b-c02b-4a5e-bbd0-423a16a9ad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0AC8BF-0955-43EA-A727-89CDDC9379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3BDD7C-D33C-4FA9-B79C-54D90A7DE3FD}">
  <ds:schemaRefs>
    <ds:schemaRef ds:uri="9a6c27eb-32da-4d3f-a3a9-33e45052b70e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11d2184b-c02b-4a5e-bbd0-423a16a9adca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7</vt:i4>
      </vt:variant>
    </vt:vector>
  </HeadingPairs>
  <TitlesOfParts>
    <vt:vector size="15" baseType="lpstr">
      <vt:lpstr>Geral</vt:lpstr>
      <vt:lpstr>Quadro Resumo - Valor Mensal</vt:lpstr>
      <vt:lpstr>MEMORIA</vt:lpstr>
      <vt:lpstr>Uniformes</vt:lpstr>
      <vt:lpstr>Materiais</vt:lpstr>
      <vt:lpstr>Equipamentos</vt:lpstr>
      <vt:lpstr>12X36 DIU FORTAL CCT2023</vt:lpstr>
      <vt:lpstr>12X36 NOTURNO FORTAL CCT2023</vt:lpstr>
      <vt:lpstr>'12X36 DIU FORTAL CCT2023'!Area_de_impressao</vt:lpstr>
      <vt:lpstr>'12X36 NOTURNO FORTAL CCT2023'!Area_de_impressao</vt:lpstr>
      <vt:lpstr>Equipamentos!Area_de_impressao</vt:lpstr>
      <vt:lpstr>Geral!Area_de_impressao</vt:lpstr>
      <vt:lpstr>Materiais!Area_de_impressao</vt:lpstr>
      <vt:lpstr>'Quadro Resumo - Valor Mensal'!Area_de_impressao</vt:lpstr>
      <vt:lpstr>Uniformes!Area_de_impressao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Franklin Brasil Santos</dc:creator>
  <cp:lastModifiedBy>Giselia Santos Melo</cp:lastModifiedBy>
  <cp:revision/>
  <cp:lastPrinted>2024-06-12T18:51:25Z</cp:lastPrinted>
  <dcterms:created xsi:type="dcterms:W3CDTF">2011-10-09T16:09:02Z</dcterms:created>
  <dcterms:modified xsi:type="dcterms:W3CDTF">2024-06-24T17:37:16Z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0x01010095A18E274C17B244899BE4791DDADA6A</vt:lpwstr>
  </property>
</Properties>
</file>