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srv032sr\SL\DIVERSOS 2024\EDITAIS 2024\PE 90029-2024 - Passagens Molhadas - SRP (GRD)\Anexo I - Termo de Referência e Anexos\"/>
    </mc:Choice>
  </mc:AlternateContent>
  <xr:revisionPtr revIDLastSave="0" documentId="8_{3FA26D16-1901-4D28-85A0-87382FED7E29}" xr6:coauthVersionLast="47" xr6:coauthVersionMax="47" xr10:uidLastSave="{00000000-0000-0000-0000-000000000000}"/>
  <bookViews>
    <workbookView xWindow="-120" yWindow="-120" windowWidth="29040" windowHeight="15720" tabRatio="872" activeTab="1" xr2:uid="{00000000-000D-0000-FFFF-FFFF00000000}"/>
  </bookViews>
  <sheets>
    <sheet name="RESUMO" sheetId="115" r:id="rId1"/>
    <sheet name="Planilha Global" sheetId="113" r:id="rId2"/>
    <sheet name="Planilha Unitária" sheetId="108" state="hidden" r:id="rId3"/>
    <sheet name="Cronograma" sheetId="114" r:id="rId4"/>
    <sheet name="CPU CODEVASF E SINAPI" sheetId="100" r:id="rId5"/>
    <sheet name="CPU ENSAIOS-ORSE" sheetId="110" r:id="rId6"/>
    <sheet name="COMPOSIÇÕES SICRO" sheetId="111" r:id="rId7"/>
    <sheet name="PROJETO EXECUTIVO" sheetId="112" r:id="rId8"/>
    <sheet name="Preços Insumos e Serviços" sheetId="93" r:id="rId9"/>
    <sheet name="Mobilização" sheetId="97" r:id="rId10"/>
    <sheet name="BDI" sheetId="104" r:id="rId11"/>
    <sheet name="Det. Encargos Sociais" sheetId="105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\C">[1]SERVIÇO!#REF!</definedName>
    <definedName name="___\I">[1]SERVIÇO!#REF!</definedName>
    <definedName name="___\J">[1]SERVIÇO!#REF!</definedName>
    <definedName name="___\O">[1]SERVIÇO!#REF!</definedName>
    <definedName name="___\P">[1]SERVIÇO!#REF!</definedName>
    <definedName name="____\A">[1]SERVIÇO!#REF!</definedName>
    <definedName name="____\B">[1]SERVIÇO!#REF!</definedName>
    <definedName name="___aga14">#REF!</definedName>
    <definedName name="___bur3220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f60">#REF!</definedName>
    <definedName name="__rgp1">#REF!</definedName>
    <definedName name="__tap100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ea32">#REF!</definedName>
    <definedName name="__tea4560">#REF!</definedName>
    <definedName name="__tee100">#REF!</definedName>
    <definedName name="__ter10050">#REF!</definedName>
    <definedName name="__tlf6">#REF!</definedName>
    <definedName name="__tub10012">#REF!</definedName>
    <definedName name="__tub10015">#REF!</definedName>
    <definedName name="__tub10020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nm.Print_Area_3">#REF!</definedName>
    <definedName name="__xlnm.Print_Area_4">#REF!</definedName>
    <definedName name="_01_09_96">#REF!</definedName>
    <definedName name="_10af_4" localSheetId="6">#REF!</definedName>
    <definedName name="_10af_4">#REF!</definedName>
    <definedName name="_11ag_1" localSheetId="6">#REF!</definedName>
    <definedName name="_11ag_1">#REF!</definedName>
    <definedName name="_12ag_2" localSheetId="6">#REF!</definedName>
    <definedName name="_12ag_2">#REF!</definedName>
    <definedName name="_13ag_3" localSheetId="6">#REF!</definedName>
    <definedName name="_13ag_3">#REF!</definedName>
    <definedName name="_14ag_4" localSheetId="6">#REF!</definedName>
    <definedName name="_14ag_4">#REF!</definedName>
    <definedName name="_15cho_1" localSheetId="6">#REF!</definedName>
    <definedName name="_15cho_1">#REF!</definedName>
    <definedName name="_16cho_2" localSheetId="6">#REF!</definedName>
    <definedName name="_16cho_2">#REF!</definedName>
    <definedName name="_17cho_3" localSheetId="6">#REF!</definedName>
    <definedName name="_17cho_3">#REF!</definedName>
    <definedName name="_18cho_4" localSheetId="6">#REF!</definedName>
    <definedName name="_18cho_4">#REF!</definedName>
    <definedName name="_19ci_1" localSheetId="6">#REF!</definedName>
    <definedName name="_19ci_1">#REF!</definedName>
    <definedName name="_1a_1" localSheetId="6">#REF!</definedName>
    <definedName name="_1a_1">#REF!</definedName>
    <definedName name="_20ci_2" localSheetId="6">#REF!</definedName>
    <definedName name="_20ci_2">#REF!</definedName>
    <definedName name="_21ci_3" localSheetId="6">#REF!</definedName>
    <definedName name="_21ci_3">#REF!</definedName>
    <definedName name="_22ci_4" localSheetId="6">#REF!</definedName>
    <definedName name="_22ci_4">#REF!</definedName>
    <definedName name="_23Excel_BuiltIn_Print_Area_2" localSheetId="6">#REF!</definedName>
    <definedName name="_23Excel_BuiltIn_Print_Area_2">#REF!</definedName>
    <definedName name="_24Excel_BuiltIn_Print_Area_3" localSheetId="6">#REF!</definedName>
    <definedName name="_24Excel_BuiltIn_Print_Area_3">#REF!</definedName>
    <definedName name="_26Excel_BuiltIn_Print_Area_7_1_1" localSheetId="6">#REF!</definedName>
    <definedName name="_26Excel_BuiltIn_Print_Area_7_1_1">#REF!</definedName>
    <definedName name="_27Excel_BuiltIn_Print_Area_8_1" localSheetId="6">(#REF!,#REF!,#REF!,#REF!,#REF!)</definedName>
    <definedName name="_27Excel_BuiltIn_Print_Area_8_1" localSheetId="7">(#REF!,#REF!,#REF!,#REF!,#REF!)</definedName>
    <definedName name="_27Excel_BuiltIn_Print_Area_8_1">(#REF!,#REF!,#REF!,#REF!,#REF!)</definedName>
    <definedName name="_28ls_1" localSheetId="6">#REF!</definedName>
    <definedName name="_28ls_1" localSheetId="7">#REF!</definedName>
    <definedName name="_28ls_1">#REF!</definedName>
    <definedName name="_29ls_2" localSheetId="6">#REF!</definedName>
    <definedName name="_29ls_2">#REF!</definedName>
    <definedName name="_2a_2" localSheetId="6">#REF!</definedName>
    <definedName name="_2a_2">#REF!</definedName>
    <definedName name="_30ls_3" localSheetId="6">#REF!</definedName>
    <definedName name="_30ls_3">#REF!</definedName>
    <definedName name="_31ls_4" localSheetId="6">#REF!</definedName>
    <definedName name="_31ls_4">#REF!</definedName>
    <definedName name="_32lub_1" localSheetId="6">#REF!</definedName>
    <definedName name="_32lub_1">#REF!</definedName>
    <definedName name="_33lub_2" localSheetId="6">#REF!</definedName>
    <definedName name="_33lub_2">#REF!</definedName>
    <definedName name="_34lub_3" localSheetId="6">#REF!</definedName>
    <definedName name="_34lub_3">#REF!</definedName>
    <definedName name="_35lub_4" localSheetId="6">#REF!</definedName>
    <definedName name="_35lub_4">#REF!</definedName>
    <definedName name="_36meio_1" localSheetId="6">#REF!</definedName>
    <definedName name="_36meio_1">#REF!</definedName>
    <definedName name="_37meio_2" localSheetId="6">#REF!</definedName>
    <definedName name="_37meio_2">#REF!</definedName>
    <definedName name="_38meio_3" localSheetId="6">#REF!</definedName>
    <definedName name="_38meio_3">#REF!</definedName>
    <definedName name="_39meio_4" localSheetId="6">#REF!</definedName>
    <definedName name="_39meio_4">#REF!</definedName>
    <definedName name="_3a_3" localSheetId="6">#REF!</definedName>
    <definedName name="_3a_3">#REF!</definedName>
    <definedName name="_40od_1" localSheetId="6">#REF!</definedName>
    <definedName name="_40od_1">#REF!</definedName>
    <definedName name="_41od_2" localSheetId="6">#REF!</definedName>
    <definedName name="_41od_2">#REF!</definedName>
    <definedName name="_42od_3" localSheetId="6">#REF!</definedName>
    <definedName name="_42od_3">#REF!</definedName>
    <definedName name="_43od_4" localSheetId="6">#REF!</definedName>
    <definedName name="_43od_4">#REF!</definedName>
    <definedName name="_44of_1" localSheetId="6">#REF!</definedName>
    <definedName name="_44of_1">#REF!</definedName>
    <definedName name="_45of_2" localSheetId="6">#REF!</definedName>
    <definedName name="_45of_2">#REF!</definedName>
    <definedName name="_46of_3" localSheetId="6">#REF!</definedName>
    <definedName name="_46of_3">#REF!</definedName>
    <definedName name="_47of_4" localSheetId="6">#REF!</definedName>
    <definedName name="_47of_4">#REF!</definedName>
    <definedName name="_48pdm_1" localSheetId="6">#REF!</definedName>
    <definedName name="_48pdm_1">#REF!</definedName>
    <definedName name="_49pdm_2" localSheetId="6">#REF!</definedName>
    <definedName name="_49pdm_2">#REF!</definedName>
    <definedName name="_4aaa_1" localSheetId="6">#REF!</definedName>
    <definedName name="_4aaa_1">#REF!</definedName>
    <definedName name="_50pdm_3" localSheetId="6">#REF!</definedName>
    <definedName name="_50pdm_3">#REF!</definedName>
    <definedName name="_51pdm_4" localSheetId="6">#REF!</definedName>
    <definedName name="_51pdm_4">#REF!</definedName>
    <definedName name="_52pedra_1" localSheetId="6">#REF!</definedName>
    <definedName name="_52pedra_1">#REF!</definedName>
    <definedName name="_53pedra_2" localSheetId="6">#REF!</definedName>
    <definedName name="_53pedra_2">#REF!</definedName>
    <definedName name="_54pedra_3" localSheetId="6">#REF!</definedName>
    <definedName name="_54pedra_3">#REF!</definedName>
    <definedName name="_55pedra_4" localSheetId="6">#REF!</definedName>
    <definedName name="_55pedra_4">#REF!</definedName>
    <definedName name="_56port_1" localSheetId="6">#REF!</definedName>
    <definedName name="_56port_1">#REF!</definedName>
    <definedName name="_57port_2" localSheetId="6">#REF!</definedName>
    <definedName name="_57port_2">#REF!</definedName>
    <definedName name="_58port_3" localSheetId="6">#REF!</definedName>
    <definedName name="_58port_3">#REF!</definedName>
    <definedName name="_59port_4" localSheetId="6">#REF!</definedName>
    <definedName name="_59port_4">#REF!</definedName>
    <definedName name="_5aaa_2" localSheetId="6">#REF!</definedName>
    <definedName name="_5aaa_2">#REF!</definedName>
    <definedName name="_60PREF_1" localSheetId="6">#REF!</definedName>
    <definedName name="_60PREF_1">#REF!</definedName>
    <definedName name="_61PREF_2" localSheetId="6">#REF!</definedName>
    <definedName name="_61PREF_2">#REF!</definedName>
    <definedName name="_62PREF_3" localSheetId="6">#REF!</definedName>
    <definedName name="_62PREF_3">#REF!</definedName>
    <definedName name="_63PREF_4" localSheetId="6">#REF!</definedName>
    <definedName name="_63PREF_4">#REF!</definedName>
    <definedName name="_64rrrrrrrrrrrr_1" localSheetId="6">#REF!</definedName>
    <definedName name="_64rrrrrrrrrrrr_1">#REF!</definedName>
    <definedName name="_65rrrrrrrrrrrr_2" localSheetId="6">#REF!</definedName>
    <definedName name="_65rrrrrrrrrrrr_2">#REF!</definedName>
    <definedName name="_66rrrrrrrrrrrr_3" localSheetId="6">#REF!</definedName>
    <definedName name="_66rrrrrrrrrrrr_3">#REF!</definedName>
    <definedName name="_67rrrrrrrrrrrr_4" localSheetId="6">#REF!</definedName>
    <definedName name="_67rrrrrrrrrrrr_4">#REF!</definedName>
    <definedName name="_68ruas_1" localSheetId="6">#REF!</definedName>
    <definedName name="_68ruas_1">#REF!</definedName>
    <definedName name="_69ruas_2" localSheetId="6">#REF!</definedName>
    <definedName name="_69ruas_2">#REF!</definedName>
    <definedName name="_6aaa_3" localSheetId="6">#REF!</definedName>
    <definedName name="_6aaa_3">#REF!</definedName>
    <definedName name="_70ruas_3" localSheetId="6">#REF!</definedName>
    <definedName name="_70ruas_3">#REF!</definedName>
    <definedName name="_71ruas_4" localSheetId="6">#REF!</definedName>
    <definedName name="_71ruas_4">#REF!</definedName>
    <definedName name="_72se_1" localSheetId="6">#REF!</definedName>
    <definedName name="_72se_1">#REF!</definedName>
    <definedName name="_73se_2" localSheetId="6">#REF!</definedName>
    <definedName name="_73se_2">#REF!</definedName>
    <definedName name="_74se_3" localSheetId="6">#REF!</definedName>
    <definedName name="_74se_3">#REF!</definedName>
    <definedName name="_75se_4" localSheetId="6">#REF!</definedName>
    <definedName name="_75se_4">#REF!</definedName>
    <definedName name="_76sx_1" localSheetId="6">#REF!</definedName>
    <definedName name="_76sx_1">#REF!</definedName>
    <definedName name="_77sx_2" localSheetId="6">#REF!</definedName>
    <definedName name="_77sx_2">#REF!</definedName>
    <definedName name="_78sx_3" localSheetId="6">#REF!</definedName>
    <definedName name="_78sx_3">#REF!</definedName>
    <definedName name="_79sx_4" localSheetId="6">#REF!</definedName>
    <definedName name="_79sx_4">#REF!</definedName>
    <definedName name="_7af_1" localSheetId="6">#REF!</definedName>
    <definedName name="_7af_1">#REF!</definedName>
    <definedName name="_80tb100cm_1" localSheetId="6">#REF!</definedName>
    <definedName name="_80tb100cm_1">#REF!</definedName>
    <definedName name="_81tb100cm_2" localSheetId="6">#REF!</definedName>
    <definedName name="_81tb100cm_2">#REF!</definedName>
    <definedName name="_82tb100cm_3" localSheetId="6">#REF!</definedName>
    <definedName name="_82tb100cm_3">#REF!</definedName>
    <definedName name="_83tb100cm_4" localSheetId="6">#REF!</definedName>
    <definedName name="_83tb100cm_4">#REF!</definedName>
    <definedName name="_84total_1" localSheetId="6">#REF!</definedName>
    <definedName name="_84total_1">#REF!</definedName>
    <definedName name="_85total_2" localSheetId="6">#REF!</definedName>
    <definedName name="_85total_2">#REF!</definedName>
    <definedName name="_86total_3" localSheetId="6">#REF!</definedName>
    <definedName name="_86total_3">#REF!</definedName>
    <definedName name="_87total_4" localSheetId="6">#REF!</definedName>
    <definedName name="_87total_4">#REF!</definedName>
    <definedName name="_8af_2" localSheetId="6">#REF!</definedName>
    <definedName name="_8af_2">#REF!</definedName>
    <definedName name="_9af_3" localSheetId="6">#REF!</definedName>
    <definedName name="_9af_3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ga14" localSheetId="6">#REF!</definedName>
    <definedName name="_aga14" localSheetId="7">#REF!</definedName>
    <definedName name="_aga14">#REF!</definedName>
    <definedName name="_aga16" localSheetId="6">#REF!</definedName>
    <definedName name="_aga16" localSheetId="7">#REF!</definedName>
    <definedName name="_aga16">#REF!</definedName>
    <definedName name="_ARQ1" localSheetId="7">[1]SERVIÇO!#REF!</definedName>
    <definedName name="_ARQ1">[1]SERVIÇO!#REF!</definedName>
    <definedName name="_asc321" localSheetId="6">#REF!</definedName>
    <definedName name="_asc321" localSheetId="7">#REF!</definedName>
    <definedName name="_asc321">#REF!</definedName>
    <definedName name="_bur3220" localSheetId="6">#REF!</definedName>
    <definedName name="_bur3220" localSheetId="7">#REF!</definedName>
    <definedName name="_bur3220">#REF!</definedName>
    <definedName name="_C930I" localSheetId="7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6">#REF!</definedName>
    <definedName name="_cap20">#REF!</definedName>
    <definedName name="_ccr12" localSheetId="6">#REF!</definedName>
    <definedName name="_ccr12">#REF!</definedName>
    <definedName name="_cva32" localSheetId="6">#REF!</definedName>
    <definedName name="_cva32">#REF!</definedName>
    <definedName name="_cva50" localSheetId="6">#REF!</definedName>
    <definedName name="_cva50">#REF!</definedName>
    <definedName name="_cva60" localSheetId="6">#REF!</definedName>
    <definedName name="_cva60">#REF!</definedName>
    <definedName name="_cve45100" localSheetId="6">#REF!</definedName>
    <definedName name="_cve45100">#REF!</definedName>
    <definedName name="_cve90100" localSheetId="6">#REF!</definedName>
    <definedName name="_cve90100">#REF!</definedName>
    <definedName name="_cve9040" localSheetId="6">#REF!</definedName>
    <definedName name="_cve9040">#REF!</definedName>
    <definedName name="_djm10" localSheetId="6">#REF!</definedName>
    <definedName name="_djm10">#REF!</definedName>
    <definedName name="_djm15" localSheetId="6">#REF!</definedName>
    <definedName name="_djm15">#REF!</definedName>
    <definedName name="_epl2" localSheetId="6">#REF!</definedName>
    <definedName name="_epl2">#REF!</definedName>
    <definedName name="_epl5" localSheetId="6">#REF!</definedName>
    <definedName name="_epl5">#REF!</definedName>
    <definedName name="_esc15" localSheetId="6">#REF!</definedName>
    <definedName name="_esc15">#REF!</definedName>
    <definedName name="_esc4" localSheetId="6">#REF!</definedName>
    <definedName name="_esc4">#REF!</definedName>
    <definedName name="_esc6" localSheetId="6">#REF!</definedName>
    <definedName name="_esc6">#REF!</definedName>
    <definedName name="_est15" localSheetId="6">#REF!</definedName>
    <definedName name="_est15">#REF!</definedName>
    <definedName name="_fil1" localSheetId="6">#REF!</definedName>
    <definedName name="_fil1">#REF!</definedName>
    <definedName name="_fil2" localSheetId="6">#REF!</definedName>
    <definedName name="_fil2">#REF!</definedName>
    <definedName name="_xlnm._FilterDatabase" localSheetId="2" hidden="1">'Planilha Unitária'!$E$60:$E$63</definedName>
    <definedName name="_xlnm._FilterDatabase" localSheetId="8" hidden="1">'Preços Insumos e Serviços'!$B$3:$G$32</definedName>
    <definedName name="_fio12" localSheetId="6">#REF!</definedName>
    <definedName name="_fio12">#REF!</definedName>
    <definedName name="_fis5" localSheetId="6">#REF!</definedName>
    <definedName name="_fis5">#REF!</definedName>
    <definedName name="_flf50" localSheetId="6">#REF!</definedName>
    <definedName name="_flf50">#REF!</definedName>
    <definedName name="_flf60" localSheetId="6">#REF!</definedName>
    <definedName name="_flf60">#REF!</definedName>
    <definedName name="_fpd12" localSheetId="6">#REF!</definedName>
    <definedName name="_fpd12">#REF!</definedName>
    <definedName name="_fvr10" localSheetId="6">#REF!</definedName>
    <definedName name="_fvr10">#REF!</definedName>
    <definedName name="_itu1" localSheetId="6">#REF!</definedName>
    <definedName name="_itu1">#REF!</definedName>
    <definedName name="_jla20" localSheetId="6">#REF!</definedName>
    <definedName name="_jla20">#REF!</definedName>
    <definedName name="_jla32" localSheetId="6">#REF!</definedName>
    <definedName name="_jla32">#REF!</definedName>
    <definedName name="_lpi100" localSheetId="6">#REF!</definedName>
    <definedName name="_lpi100">#REF!</definedName>
    <definedName name="_lvg10060" localSheetId="6">#REF!</definedName>
    <definedName name="_lvg10060">#REF!</definedName>
    <definedName name="_lvp32" localSheetId="6">#REF!</definedName>
    <definedName name="_lvp32">#REF!</definedName>
    <definedName name="_lxa1" localSheetId="6">#REF!</definedName>
    <definedName name="_lxa1">#REF!</definedName>
    <definedName name="_man50" localSheetId="6">#REF!</definedName>
    <definedName name="_man50">#REF!</definedName>
    <definedName name="_ope1" localSheetId="6">#REF!</definedName>
    <definedName name="_ope1">#REF!</definedName>
    <definedName name="_ope2" localSheetId="6">#REF!</definedName>
    <definedName name="_ope2">#REF!</definedName>
    <definedName name="_ope3" localSheetId="6">#REF!</definedName>
    <definedName name="_ope3">#REF!</definedName>
    <definedName name="_Order1" hidden="1">255</definedName>
    <definedName name="_PL1" localSheetId="7">#REF!</definedName>
    <definedName name="_PL1">#REF!</definedName>
    <definedName name="_pne1" localSheetId="6">#REF!</definedName>
    <definedName name="_pne1" localSheetId="7">#REF!</definedName>
    <definedName name="_pne1">#REF!</definedName>
    <definedName name="_pne2" localSheetId="6">#REF!</definedName>
    <definedName name="_pne2">#REF!</definedName>
    <definedName name="_prg1515" localSheetId="6">#REF!</definedName>
    <definedName name="_prg1515">#REF!</definedName>
    <definedName name="_prg1827" localSheetId="6">#REF!</definedName>
    <definedName name="_prg1827">#REF!</definedName>
    <definedName name="_ptc7" localSheetId="6">#REF!</definedName>
    <definedName name="_ptc7">#REF!</definedName>
    <definedName name="_ptm6" localSheetId="6">#REF!</definedName>
    <definedName name="_ptm6">#REF!</definedName>
    <definedName name="_qdm3" localSheetId="6">#REF!</definedName>
    <definedName name="_qdm3">#REF!</definedName>
    <definedName name="_QT100" localSheetId="7">[1]SERVIÇO!#REF!</definedName>
    <definedName name="_QT100">[1]SERVIÇO!#REF!</definedName>
    <definedName name="_QT2" localSheetId="7">[1]SERVIÇO!#REF!</definedName>
    <definedName name="_QT2">[1]SERVIÇO!#REF!</definedName>
    <definedName name="_QT3" localSheetId="7">[1]SERVIÇO!#REF!</definedName>
    <definedName name="_QT3">[1]SERVIÇO!#REF!</definedName>
    <definedName name="_QT4" localSheetId="7">[1]SERVIÇO!#REF!</definedName>
    <definedName name="_QT4">[1]SERVIÇO!#REF!</definedName>
    <definedName name="_QT50" localSheetId="7">[1]SERVIÇO!#REF!</definedName>
    <definedName name="_QT50">[1]SERVIÇO!#REF!</definedName>
    <definedName name="_QT75">[1]SERVIÇO!#REF!</definedName>
    <definedName name="_rcm10" localSheetId="6">#REF!</definedName>
    <definedName name="_rcm10" localSheetId="7">#REF!</definedName>
    <definedName name="_rcm10">#REF!</definedName>
    <definedName name="_rcm15" localSheetId="6">#REF!</definedName>
    <definedName name="_rcm15" localSheetId="7">#REF!</definedName>
    <definedName name="_rcm15">#REF!</definedName>
    <definedName name="_rcm20" localSheetId="6">#REF!</definedName>
    <definedName name="_rcm20">#REF!</definedName>
    <definedName name="_rcm5" localSheetId="6">#REF!</definedName>
    <definedName name="_rcm5">#REF!</definedName>
    <definedName name="_res10" localSheetId="6">#REF!</definedName>
    <definedName name="_res10">#REF!</definedName>
    <definedName name="_res15" localSheetId="6">#REF!</definedName>
    <definedName name="_res15">#REF!</definedName>
    <definedName name="_res5" localSheetId="6">#REF!</definedName>
    <definedName name="_res5">#REF!</definedName>
    <definedName name="_rge32" localSheetId="6">#REF!</definedName>
    <definedName name="_rge32">#REF!</definedName>
    <definedName name="_rgf60" localSheetId="6">#REF!</definedName>
    <definedName name="_rgf60">#REF!</definedName>
    <definedName name="_rgp1" localSheetId="6">#REF!</definedName>
    <definedName name="_rgp1">#REF!</definedName>
    <definedName name="_T">[1]SERVIÇO!#REF!</definedName>
    <definedName name="_tap100" localSheetId="6">#REF!</definedName>
    <definedName name="_tap100" localSheetId="7">#REF!</definedName>
    <definedName name="_tap100">#REF!</definedName>
    <definedName name="_tb112" localSheetId="6">#REF!</definedName>
    <definedName name="_tb112" localSheetId="7">#REF!</definedName>
    <definedName name="_tb112">#REF!</definedName>
    <definedName name="_tb16" localSheetId="6">#REF!</definedName>
    <definedName name="_tb16" localSheetId="7">#REF!</definedName>
    <definedName name="_tb16">#REF!</definedName>
    <definedName name="_tb19" localSheetId="6">#REF!</definedName>
    <definedName name="_tb19">#REF!</definedName>
    <definedName name="_tba20" localSheetId="6">#REF!</definedName>
    <definedName name="_tba20">#REF!</definedName>
    <definedName name="_tba32" localSheetId="6">#REF!</definedName>
    <definedName name="_tba32">#REF!</definedName>
    <definedName name="_tba50" localSheetId="6">#REF!</definedName>
    <definedName name="_tba50">#REF!</definedName>
    <definedName name="_tba60" localSheetId="6">#REF!</definedName>
    <definedName name="_tba60">#REF!</definedName>
    <definedName name="_tbe100" localSheetId="6">#REF!</definedName>
    <definedName name="_tbe100">#REF!</definedName>
    <definedName name="_tbe40" localSheetId="6">#REF!</definedName>
    <definedName name="_tbe40">#REF!</definedName>
    <definedName name="_tbe50" localSheetId="6">#REF!</definedName>
    <definedName name="_tbe50">#REF!</definedName>
    <definedName name="_tca80" localSheetId="6">#REF!</definedName>
    <definedName name="_tca80">#REF!</definedName>
    <definedName name="_tea32" localSheetId="6">#REF!</definedName>
    <definedName name="_tea32">#REF!</definedName>
    <definedName name="_tea4560" localSheetId="6">#REF!</definedName>
    <definedName name="_tea4560">#REF!</definedName>
    <definedName name="_tee100" localSheetId="6">#REF!</definedName>
    <definedName name="_tee100">#REF!</definedName>
    <definedName name="_ter10050" localSheetId="6">#REF!</definedName>
    <definedName name="_ter10050">#REF!</definedName>
    <definedName name="_tfg50" localSheetId="6">#REF!</definedName>
    <definedName name="_tfg50">#REF!</definedName>
    <definedName name="_tlf6" localSheetId="6">#REF!</definedName>
    <definedName name="_tlf6">#REF!</definedName>
    <definedName name="_tub10012" localSheetId="6">#REF!</definedName>
    <definedName name="_tub10012">#REF!</definedName>
    <definedName name="_tub10015" localSheetId="6">#REF!</definedName>
    <definedName name="_tub10015">#REF!</definedName>
    <definedName name="_tub10020" localSheetId="6">#REF!</definedName>
    <definedName name="_tub10020">#REF!</definedName>
    <definedName name="_tub15012" localSheetId="6">#REF!</definedName>
    <definedName name="_tub15012">#REF!</definedName>
    <definedName name="_tub4012" localSheetId="6">#REF!</definedName>
    <definedName name="_tub4012">#REF!</definedName>
    <definedName name="_tub4015" localSheetId="6">#REF!</definedName>
    <definedName name="_tub4015">#REF!</definedName>
    <definedName name="_tub4020" localSheetId="6">#REF!</definedName>
    <definedName name="_tub4020">#REF!</definedName>
    <definedName name="_tub5012" localSheetId="6">#REF!</definedName>
    <definedName name="_tub5012">#REF!</definedName>
    <definedName name="_tub5015" localSheetId="6">#REF!</definedName>
    <definedName name="_tub5015">#REF!</definedName>
    <definedName name="_tub5020" localSheetId="6">#REF!</definedName>
    <definedName name="_tub5020">#REF!</definedName>
    <definedName name="_tub7512" localSheetId="6">#REF!</definedName>
    <definedName name="_tub7512">#REF!</definedName>
    <definedName name="_tub7515" localSheetId="6">#REF!</definedName>
    <definedName name="_tub7515">#REF!</definedName>
    <definedName name="_tub7520" localSheetId="6">#REF!</definedName>
    <definedName name="_tub7520">#REF!</definedName>
    <definedName name="a" localSheetId="6">#REF!</definedName>
    <definedName name="a">#REF!</definedName>
    <definedName name="a_1" localSheetId="6">#REF!</definedName>
    <definedName name="a_1">#REF!</definedName>
    <definedName name="a_1_4" localSheetId="6">#REF!</definedName>
    <definedName name="a_1_4">#REF!</definedName>
    <definedName name="a_4" localSheetId="6">#REF!</definedName>
    <definedName name="a_4">#REF!</definedName>
    <definedName name="a_6" localSheetId="6">#REF!</definedName>
    <definedName name="a_6">#REF!</definedName>
    <definedName name="a_6_4" localSheetId="6">#REF!</definedName>
    <definedName name="a_6_4">#REF!</definedName>
    <definedName name="AA" localSheetId="7">'PROJETO EXECUTIVO'!AA</definedName>
    <definedName name="AA">AA</definedName>
    <definedName name="aaa" localSheetId="6">#REF!</definedName>
    <definedName name="aaa" localSheetId="7">#REF!</definedName>
    <definedName name="aaa">#REF!</definedName>
    <definedName name="AAAAA" localSheetId="6">#REF!</definedName>
    <definedName name="AAAAA" localSheetId="7">#REF!</definedName>
    <definedName name="AAAAA">#REF!</definedName>
    <definedName name="abebqt" localSheetId="7">[1]SERVIÇO!#REF!</definedName>
    <definedName name="abebqt">[1]SERVIÇO!#REF!</definedName>
    <definedName name="ACADUC" localSheetId="7">[1]SERVIÇO!#REF!</definedName>
    <definedName name="ACADUC">[1]SERVIÇO!#REF!</definedName>
    <definedName name="ACBEB" localSheetId="7">[1]SERVIÇO!#REF!</definedName>
    <definedName name="ACBEB">[1]SERVIÇO!#REF!</definedName>
    <definedName name="ACBOMB" localSheetId="7">[1]SERVIÇO!#REF!</definedName>
    <definedName name="ACBOMB">[1]SERVIÇO!#REF!</definedName>
    <definedName name="AccessDatabase" hidden="1">"D:\Arquivos do excel\Planilha modelo1.mdb"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 localSheetId="7">#REF!</definedName>
    <definedName name="ACIDO">#REF!</definedName>
    <definedName name="acl" localSheetId="6">#REF!</definedName>
    <definedName name="acl" localSheetId="7">#REF!</definedName>
    <definedName name="acl">#REF!</definedName>
    <definedName name="ACMUR" localSheetId="7">[1]SERVIÇO!#REF!</definedName>
    <definedName name="ACMUR">[1]SERVIÇO!#REF!</definedName>
    <definedName name="aço" localSheetId="6">#REF!</definedName>
    <definedName name="aço" localSheetId="7">#REF!</definedName>
    <definedName name="aço">#REF!</definedName>
    <definedName name="AÇO_CA_50_3_16" localSheetId="7">#REF!</definedName>
    <definedName name="AÇO_CA_50_3_16">#REF!</definedName>
    <definedName name="ACONT2" localSheetId="7">[1]SERVIÇO!#REF!</definedName>
    <definedName name="ACONT2">[1]SERVIÇO!#REF!</definedName>
    <definedName name="ACPIPA" localSheetId="7">[1]SERVIÇO!#REF!</definedName>
    <definedName name="ACPIPA">[1]SERVIÇO!#REF!</definedName>
    <definedName name="ACTRANSP" localSheetId="7">[1]SERVIÇO!#REF!</definedName>
    <definedName name="ACTRANSP">[1]SERVIÇO!#REF!</definedName>
    <definedName name="AD" localSheetId="7">#REF!</definedName>
    <definedName name="AD">#REF!</definedName>
    <definedName name="ade" localSheetId="6">#REF!</definedName>
    <definedName name="ade" localSheetId="7">#REF!</definedName>
    <definedName name="ade">#REF!</definedName>
    <definedName name="ADESIVO_PVC">#REF!</definedName>
    <definedName name="adtimp" localSheetId="6">#REF!</definedName>
    <definedName name="adtimp">#REF!</definedName>
    <definedName name="ADUCQT">[1]SERVIÇO!#REF!</definedName>
    <definedName name="af" localSheetId="6">#REF!</definedName>
    <definedName name="af" localSheetId="4">#REF!</definedName>
    <definedName name="af" localSheetId="9">#REF!</definedName>
    <definedName name="af" localSheetId="7">#REF!</definedName>
    <definedName name="af">#REF!</definedName>
    <definedName name="af_1" localSheetId="6">#REF!</definedName>
    <definedName name="af_1">#REF!</definedName>
    <definedName name="aff" localSheetId="6">#REF!</definedName>
    <definedName name="aff">#REF!</definedName>
    <definedName name="afi" localSheetId="6">#REF!</definedName>
    <definedName name="afi">#REF!</definedName>
    <definedName name="afp" localSheetId="6">#REF!</definedName>
    <definedName name="afp">#REF!</definedName>
    <definedName name="ag" localSheetId="6">#REF!</definedName>
    <definedName name="ag" localSheetId="4">#REF!</definedName>
    <definedName name="ag" localSheetId="9">#REF!</definedName>
    <definedName name="ag">#REF!</definedName>
    <definedName name="ag_1" localSheetId="6">#REF!</definedName>
    <definedName name="ag_1">#REF!</definedName>
    <definedName name="agr" localSheetId="6">#REF!</definedName>
    <definedName name="agr">#REF!</definedName>
    <definedName name="AGUA_10LT">#REF!</definedName>
    <definedName name="AGUARRAZ">#REF!</definedName>
    <definedName name="AITEM" localSheetId="7">[1]SERVIÇO!#REF!</definedName>
    <definedName name="AITEM">[1]SERVIÇO!#REF!</definedName>
    <definedName name="AJUDANTE" localSheetId="7">#REF!</definedName>
    <definedName name="AJUDANTE">#REF!</definedName>
    <definedName name="ALIZAR_MAD_LEI" localSheetId="7">#REF!</definedName>
    <definedName name="ALIZAR_MAD_LEI">#REF!</definedName>
    <definedName name="ALTA" localSheetId="7">'[2]PRO-08'!#REF!</definedName>
    <definedName name="ALTA">'[2]PRO-08'!#REF!</definedName>
    <definedName name="ALTADUC" localSheetId="7">[1]SERVIÇO!#REF!</definedName>
    <definedName name="ALTADUC">[1]SERVIÇO!#REF!</definedName>
    <definedName name="ALTBOMB" localSheetId="7">[1]SERVIÇO!#REF!</definedName>
    <definedName name="ALTBOMB">[1]SERVIÇO!#REF!</definedName>
    <definedName name="ALTCAP" localSheetId="7">[1]SERVIÇO!#REF!</definedName>
    <definedName name="ALTCAP">[1]SERVIÇO!#REF!</definedName>
    <definedName name="ALTDER" localSheetId="7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 localSheetId="7">#REF!</definedName>
    <definedName name="amarela">#REF!</definedName>
    <definedName name="amc" localSheetId="6">#REF!</definedName>
    <definedName name="amc" localSheetId="7">#REF!</definedName>
    <definedName name="amc">#REF!</definedName>
    <definedName name="amd" localSheetId="6">#REF!</definedName>
    <definedName name="amd">#REF!</definedName>
    <definedName name="ame" localSheetId="6">#REF!</definedName>
    <definedName name="ame">#REF!</definedName>
    <definedName name="amm" localSheetId="6">#REF!</definedName>
    <definedName name="amm">#REF!</definedName>
    <definedName name="AMONIA">#REF!</definedName>
    <definedName name="anb" localSheetId="6">#REF!</definedName>
    <definedName name="anb">#REF!</definedName>
    <definedName name="apc" localSheetId="6">#REF!</definedName>
    <definedName name="apc">#REF!</definedName>
    <definedName name="apmfs" localSheetId="6">#REF!</definedName>
    <definedName name="apmfs">#REF!</definedName>
    <definedName name="APRENDIZ" localSheetId="7">{"total","SUM(total)","YNNNN",FALSE}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are" localSheetId="6">#REF!</definedName>
    <definedName name="are">#REF!</definedName>
    <definedName name="AREA">#REF!</definedName>
    <definedName name="ÁREA">#REF!</definedName>
    <definedName name="_xlnm.Print_Area" localSheetId="10">BDI!$B$2:$I$37</definedName>
    <definedName name="_xlnm.Print_Area" localSheetId="4">'CPU CODEVASF E SINAPI'!$B$2:$I$40</definedName>
    <definedName name="_xlnm.Print_Area" localSheetId="5">'CPU ENSAIOS-ORSE'!$A$1:$H$15</definedName>
    <definedName name="_xlnm.Print_Area" localSheetId="3">Cronograma!$B$2:$Q$83</definedName>
    <definedName name="_xlnm.Print_Area" localSheetId="11">'Det. Encargos Sociais'!$B$2:$E$46</definedName>
    <definedName name="_xlnm.Print_Area" localSheetId="9">Mobilização!$B$2:$K$35</definedName>
    <definedName name="_xlnm.Print_Area" localSheetId="1">'Planilha Global'!$B$1:$M$52</definedName>
    <definedName name="_xlnm.Print_Area" localSheetId="2">'Planilha Unitária'!$B$1:$M$52</definedName>
    <definedName name="_xlnm.Print_Area" localSheetId="8">'Preços Insumos e Serviços'!$A$1:$G$67</definedName>
    <definedName name="_xlnm.Print_Area" localSheetId="7">'PROJETO EXECUTIVO'!$A$1:$G$32</definedName>
    <definedName name="_xlnm.Print_Area" localSheetId="0">RESUMO!$B$2:$J$19</definedName>
    <definedName name="Área_impressão_IM" localSheetId="7">#REF!</definedName>
    <definedName name="Área_impressão_IM">#REF!</definedName>
    <definedName name="AreaTeste" localSheetId="7">#REF!</definedName>
    <definedName name="AreaTeste">#REF!</definedName>
    <definedName name="AreaTeste2" localSheetId="7">#REF!</definedName>
    <definedName name="AreaTeste2">#REF!</definedName>
    <definedName name="AREIA">#REF!</definedName>
    <definedName name="ARMAÇÃO_CONCRETO">#REF!</definedName>
    <definedName name="ARMADOR">#REF!</definedName>
    <definedName name="ARMARIO_90X60X17_CM">#REF!</definedName>
    <definedName name="ARQ" localSheetId="7">[1]SERVIÇO!#REF!</definedName>
    <definedName name="ARQ">[1]SERVIÇO!#REF!</definedName>
    <definedName name="ARQERR" localSheetId="7">[1]SERVIÇO!#REF!</definedName>
    <definedName name="ARQERR">[1]SERVIÇO!#REF!</definedName>
    <definedName name="ARQMARC" localSheetId="7">[1]SERVIÇO!#REF!</definedName>
    <definedName name="ARQMARC">[1]SERVIÇO!#REF!</definedName>
    <definedName name="ARQPLAN" localSheetId="7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d">#REF!</definedName>
    <definedName name="Asf" localSheetId="6">#REF!</definedName>
    <definedName name="Asf" localSheetId="7">#REF!</definedName>
    <definedName name="Asf">#REF!</definedName>
    <definedName name="ass" localSheetId="7">[1]SERVIÇO!#REF!</definedName>
    <definedName name="ass">[1]SERVIÇO!#REF!</definedName>
    <definedName name="ASSENTO_PLASTICO" localSheetId="7">#REF!</definedName>
    <definedName name="ASSENTO_PLASTICO">#REF!</definedName>
    <definedName name="ATERRO_ARENOSO" localSheetId="7">#REF!</definedName>
    <definedName name="ATERRO_ARENOSO">#REF!</definedName>
    <definedName name="AUGUSTO" localSheetId="7">{"total","SUM(total)","YNNNN",FALSE}</definedName>
    <definedName name="AUGUSTO">{"total","SUM(total)","YNNNN",FALSE}</definedName>
    <definedName name="AZ">#REF!</definedName>
    <definedName name="azul" localSheetId="7">#REF!</definedName>
    <definedName name="azul">#REF!</definedName>
    <definedName name="AZULEGISTA" localSheetId="7">#REF!</definedName>
    <definedName name="AZULEGISTA">#REF!</definedName>
    <definedName name="AZULEJO_15X15">#REF!</definedName>
    <definedName name="AZULSINAL">#REF!</definedName>
    <definedName name="B">#REF!</definedName>
    <definedName name="B320I" localSheetId="6">#REF!</definedName>
    <definedName name="B320I">#REF!</definedName>
    <definedName name="B320P" localSheetId="6">#REF!</definedName>
    <definedName name="B320P">#REF!</definedName>
    <definedName name="B500I" localSheetId="6">#REF!</definedName>
    <definedName name="B500I">#REF!</definedName>
    <definedName name="B500P" localSheetId="6">#REF!</definedName>
    <definedName name="B500P">#REF!</definedName>
    <definedName name="baliz">#REF!</definedName>
    <definedName name="BALTO" localSheetId="6">#REF!</definedName>
    <definedName name="BALTO" localSheetId="4">#REF!</definedName>
    <definedName name="BALTO" localSheetId="9">#REF!</definedName>
    <definedName name="BALTO">#REF!</definedName>
    <definedName name="BARRO">[3]Insumos!$I$9</definedName>
    <definedName name="BASC10I">#REF!</definedName>
    <definedName name="BASC10P">#REF!</definedName>
    <definedName name="BASC4I">#REF!</definedName>
    <definedName name="BASC4P">#REF!</definedName>
    <definedName name="BASC6I">#REF!</definedName>
    <definedName name="BASC6P">#REF!</definedName>
    <definedName name="bcc10.10" localSheetId="6">#REF!</definedName>
    <definedName name="bcc10.10">#REF!</definedName>
    <definedName name="bcc10.20" localSheetId="6">#REF!</definedName>
    <definedName name="bcc10.20">#REF!</definedName>
    <definedName name="bcc4.5" localSheetId="6">#REF!</definedName>
    <definedName name="bcc4.5">#REF!</definedName>
    <definedName name="bcc5.10" localSheetId="6">#REF!</definedName>
    <definedName name="bcc5.10">#REF!</definedName>
    <definedName name="bcc5.15" localSheetId="6">#REF!</definedName>
    <definedName name="bcc5.15">#REF!</definedName>
    <definedName name="bcc5.20" localSheetId="6">#REF!</definedName>
    <definedName name="bcc5.20">#REF!</definedName>
    <definedName name="bcc5.5" localSheetId="6">#REF!</definedName>
    <definedName name="bcc5.5">#REF!</definedName>
    <definedName name="bcc6.10" localSheetId="6">#REF!</definedName>
    <definedName name="bcc6.10">#REF!</definedName>
    <definedName name="bcc6.15" localSheetId="6">#REF!</definedName>
    <definedName name="bcc6.15">#REF!</definedName>
    <definedName name="bcc6.20" localSheetId="6">#REF!</definedName>
    <definedName name="bcc6.20">#REF!</definedName>
    <definedName name="bcc6.5" localSheetId="6">#REF!</definedName>
    <definedName name="bcc6.5">#REF!</definedName>
    <definedName name="bcc8.10" localSheetId="6">#REF!</definedName>
    <definedName name="bcc8.10">#REF!</definedName>
    <definedName name="bcc8.15" localSheetId="6">#REF!</definedName>
    <definedName name="bcc8.15">#REF!</definedName>
    <definedName name="bcc8.20" localSheetId="6">#REF!</definedName>
    <definedName name="bcc8.20">#REF!</definedName>
    <definedName name="bcc8.5" localSheetId="6">#REF!</definedName>
    <definedName name="bcc8.5">#REF!</definedName>
    <definedName name="bcf" localSheetId="6">#REF!</definedName>
    <definedName name="bcf">#REF!</definedName>
    <definedName name="bcp" localSheetId="6">#REF!</definedName>
    <definedName name="bcp">#REF!</definedName>
    <definedName name="BDI" localSheetId="6">#REF!</definedName>
    <definedName name="BDI">#REF!</definedName>
    <definedName name="BDIE">#REF!</definedName>
    <definedName name="bebqt" localSheetId="7">[1]SERVIÇO!#REF!</definedName>
    <definedName name="bebqt">[1]SERVIÇO!#REF!</definedName>
    <definedName name="bet" localSheetId="6">#REF!</definedName>
    <definedName name="bet" localSheetId="7">#REF!</definedName>
    <definedName name="bet">#REF!</definedName>
    <definedName name="BET5I" localSheetId="7">#REF!</definedName>
    <definedName name="BET5I">#REF!</definedName>
    <definedName name="BET5P" localSheetId="7">#REF!</definedName>
    <definedName name="BET5P">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omp2" localSheetId="6">#REF!</definedName>
    <definedName name="bomp2">#REF!</definedName>
    <definedName name="BPF" localSheetId="6">#REF!</definedName>
    <definedName name="BPF">#REF!</definedName>
    <definedName name="BRITA1">#REF!</definedName>
    <definedName name="BVN">#REF!</definedName>
    <definedName name="CA15I" localSheetId="6">#REF!</definedName>
    <definedName name="CA15I">#REF!</definedName>
    <definedName name="CA15P" localSheetId="6">#REF!</definedName>
    <definedName name="CA15P">#REF!</definedName>
    <definedName name="CA25I" localSheetId="6">#REF!</definedName>
    <definedName name="CA25I">#REF!</definedName>
    <definedName name="CA25P" localSheetId="6">#REF!</definedName>
    <definedName name="CA25P">#REF!</definedName>
    <definedName name="caba1_0" localSheetId="6">#REF!</definedName>
    <definedName name="caba1_0">#REF!</definedName>
    <definedName name="caba4" localSheetId="6">#REF!</definedName>
    <definedName name="caba4">#REF!</definedName>
    <definedName name="CAIXILHO_MAD_LEI">#REF!</definedName>
    <definedName name="cal" localSheetId="6">#REF!</definedName>
    <definedName name="cal">#REF!</definedName>
    <definedName name="calpi" localSheetId="6">#REF!</definedName>
    <definedName name="calpi">#REF!</definedName>
    <definedName name="camp" localSheetId="6">#REF!</definedName>
    <definedName name="camp" localSheetId="7">#REF!</definedName>
    <definedName name="camp">#REF!</definedName>
    <definedName name="CARROCI" localSheetId="7">#REF!</definedName>
    <definedName name="CARROCI">#REF!</definedName>
    <definedName name="CARROCP" localSheetId="7">#REF!</definedName>
    <definedName name="CARROCP">#REF!</definedName>
    <definedName name="CB10I" localSheetId="6">#REF!</definedName>
    <definedName name="CB10I">#REF!</definedName>
    <definedName name="CB10P" localSheetId="6">#REF!</definedName>
    <definedName name="CB10P">#REF!</definedName>
    <definedName name="CB4I" localSheetId="6">#REF!</definedName>
    <definedName name="CB4I">#REF!</definedName>
    <definedName name="CB4P" localSheetId="6">#REF!</definedName>
    <definedName name="CB4P">#REF!</definedName>
    <definedName name="CB6.5I" localSheetId="6">#REF!</definedName>
    <definedName name="CB6.5I">#REF!</definedName>
    <definedName name="CB6.5P" localSheetId="6">#REF!</definedName>
    <definedName name="CB6.5P">#REF!</definedName>
    <definedName name="CB6I" localSheetId="6">#REF!</definedName>
    <definedName name="CB6I">#REF!</definedName>
    <definedName name="CB6P" localSheetId="6">#REF!</definedName>
    <definedName name="CB6P">#REF!</definedName>
    <definedName name="cbas" localSheetId="6">#REF!</definedName>
    <definedName name="cbas">#REF!</definedName>
    <definedName name="CBU">#REF!</definedName>
    <definedName name="CBUII">#REF!</definedName>
    <definedName name="CBUQB">#REF!</definedName>
    <definedName name="CBUQc">#REF!</definedName>
    <definedName name="cccc">[4]ORC!#REF!</definedName>
    <definedName name="CCM13I" localSheetId="7">#REF!</definedName>
    <definedName name="CCM13I">#REF!</definedName>
    <definedName name="CCM13P" localSheetId="7">#REF!</definedName>
    <definedName name="CCM13P">#REF!</definedName>
    <definedName name="CCM20I" localSheetId="7">#REF!</definedName>
    <definedName name="CCM20I">#REF!</definedName>
    <definedName name="CCM20P">#REF!</definedName>
    <definedName name="ccp" localSheetId="6">#REF!</definedName>
    <definedName name="ccp">#REF!</definedName>
    <definedName name="cds" localSheetId="6">#REF!</definedName>
    <definedName name="cds">#REF!</definedName>
    <definedName name="cec20x20" localSheetId="6">#REF!</definedName>
    <definedName name="cec20x20">#REF!</definedName>
    <definedName name="CélulaInicioPlanilha">#REF!</definedName>
    <definedName name="CélulaResumo">#REF!</definedName>
    <definedName name="cer1\2">#REF!</definedName>
    <definedName name="cer1_2" localSheetId="6">#REF!</definedName>
    <definedName name="cer1_2">#REF!</definedName>
    <definedName name="CERAMICA_30X30_PEI_IV">#REF!</definedName>
    <definedName name="CERAMICA_30x30_PEI_V">#REF!</definedName>
    <definedName name="cfd">#REF!</definedName>
    <definedName name="chaf" localSheetId="6">#REF!</definedName>
    <definedName name="chaf">#REF!</definedName>
    <definedName name="CHAFQT" localSheetId="7">[1]SERVIÇO!#REF!</definedName>
    <definedName name="CHAFQT">[1]SERVIÇO!#REF!</definedName>
    <definedName name="cho" localSheetId="6">#REF!</definedName>
    <definedName name="cho" localSheetId="4">#REF!</definedName>
    <definedName name="cho" localSheetId="9">#REF!</definedName>
    <definedName name="cho" localSheetId="7">#REF!</definedName>
    <definedName name="cho">#REF!</definedName>
    <definedName name="cho_1" localSheetId="6">#REF!</definedName>
    <definedName name="cho_1">#REF!</definedName>
    <definedName name="ci" localSheetId="6">#REF!</definedName>
    <definedName name="ci" localSheetId="4">#REF!</definedName>
    <definedName name="ci" localSheetId="9">#REF!</definedName>
    <definedName name="ci">#REF!</definedName>
    <definedName name="ci_1" localSheetId="6">#REF!</definedName>
    <definedName name="ci_1">#REF!</definedName>
    <definedName name="cib" localSheetId="6">#REF!</definedName>
    <definedName name="cib">#REF!</definedName>
    <definedName name="cim" localSheetId="6">#REF!</definedName>
    <definedName name="cim">#REF!</definedName>
    <definedName name="CIMENTO">#REF!</definedName>
    <definedName name="CIMENTO_BRANCO">#REF!</definedName>
    <definedName name="CIMENTO_COLA">#REF!</definedName>
    <definedName name="CLIENTE">#REF!</definedName>
    <definedName name="clp" localSheetId="6">#REF!</definedName>
    <definedName name="clp">#REF!</definedName>
    <definedName name="clr1\2">#REF!</definedName>
    <definedName name="clr1_2" localSheetId="6">#REF!</definedName>
    <definedName name="clr1_2">#REF!</definedName>
    <definedName name="CM9I" localSheetId="6">#REF!</definedName>
    <definedName name="CM9I">#REF!</definedName>
    <definedName name="CM9P" localSheetId="6">#REF!</definedName>
    <definedName name="CM9P">#REF!</definedName>
    <definedName name="COD_ATRIUM" localSheetId="6">#REF!</definedName>
    <definedName name="COD_ATRIUM" localSheetId="4">#REF!</definedName>
    <definedName name="COD_ATRIUM">#REF!</definedName>
    <definedName name="COD_SINAPI" localSheetId="6">#REF!</definedName>
    <definedName name="COD_SINAPI" localSheetId="4">#REF!</definedName>
    <definedName name="COD_SINAPI">#REF!</definedName>
    <definedName name="COLSUB" localSheetId="7">[1]SERVIÇO!#REF!</definedName>
    <definedName name="COLSUB">[1]SERVIÇO!#REF!</definedName>
    <definedName name="comp" localSheetId="6">#REF!</definedName>
    <definedName name="comp" localSheetId="7">#REF!</definedName>
    <definedName name="comp">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 localSheetId="7">[1]SERVIÇO!#REF!</definedName>
    <definedName name="CONT1">[1]SERVIÇO!#REF!</definedName>
    <definedName name="CONT2" localSheetId="7">[1]SERVIÇO!#REF!</definedName>
    <definedName name="CONT2">[1]SERVIÇO!#REF!</definedName>
    <definedName name="CONT3" localSheetId="7">[1]SERVIÇO!#REF!</definedName>
    <definedName name="CONT3">[1]SERVIÇO!#REF!</definedName>
    <definedName name="CONTAIT" localSheetId="7">[1]SERVIÇO!#REF!</definedName>
    <definedName name="CONTAIT">[1]SERVIÇO!#REF!</definedName>
    <definedName name="CONTREC">[1]SERVIÇO!#REF!</definedName>
    <definedName name="CONTRES">[1]SERVIÇO!#REF!</definedName>
    <definedName name="CPA">#REF!</definedName>
    <definedName name="CPAF" localSheetId="6">#REF!</definedName>
    <definedName name="CPAF">#REF!</definedName>
    <definedName name="CPU">#REF!</definedName>
    <definedName name="CRG930I">#REF!</definedName>
    <definedName name="CRG930P">#REF!</definedName>
    <definedName name="CRG966I">#REF!</definedName>
    <definedName name="CRG966P">#REF!</definedName>
    <definedName name="CRITERX">[1]SERVIÇO!#REF!</definedName>
    <definedName name="Cronograma" localSheetId="7">{"total","SUM(total)","YNNNN",FALSE}</definedName>
    <definedName name="Cronograma">{"total","SUM(total)","YNNNN",FALSE}</definedName>
    <definedName name="CRONOMOD" localSheetId="7">{"total","SUM(total)","YNNNN",FALSE}</definedName>
    <definedName name="CRONOMOD">{"total","SUM(total)","YNNNN",FALSE}</definedName>
    <definedName name="ctfa4" localSheetId="6">#REF!</definedName>
    <definedName name="ctfa4" localSheetId="7">#REF!</definedName>
    <definedName name="ctfa4">#REF!</definedName>
    <definedName name="ctpvc" localSheetId="6">#REF!</definedName>
    <definedName name="ctpvc" localSheetId="7">#REF!</definedName>
    <definedName name="ctpvc">#REF!</definedName>
    <definedName name="cumeeira" localSheetId="6">#REF!</definedName>
    <definedName name="cumeeira" localSheetId="7">#REF!</definedName>
    <definedName name="cumeeira">#REF!</definedName>
    <definedName name="cumeira" localSheetId="6">#REF!</definedName>
    <definedName name="cumeira">#REF!</definedName>
    <definedName name="CV">#REF!</definedName>
    <definedName name="cvb">#REF!</definedName>
    <definedName name="cxcx">#REF!</definedName>
    <definedName name="cxp4x2" localSheetId="6">#REF!</definedName>
    <definedName name="cxp4x2">#REF!</definedName>
    <definedName name="cxz">#REF!</definedName>
    <definedName name="CZ">#REF!</definedName>
    <definedName name="d">#REF!</definedName>
    <definedName name="D6I" localSheetId="6">#REF!</definedName>
    <definedName name="D6I">#REF!</definedName>
    <definedName name="D6P" localSheetId="6">#REF!</definedName>
    <definedName name="D6P">#REF!</definedName>
    <definedName name="D8I" localSheetId="6">#REF!</definedName>
    <definedName name="D8I">#REF!</definedName>
    <definedName name="D8P" localSheetId="6">#REF!</definedName>
    <definedName name="D8P">#REF!</definedName>
    <definedName name="DAT" localSheetId="6">#REF!</definedName>
    <definedName name="DAT">#REF!</definedName>
    <definedName name="DATA">#REF!</definedName>
    <definedName name="Data_Final">#REF!</definedName>
    <definedName name="Data_Início">#REF!</definedName>
    <definedName name="Database" localSheetId="6">#REF!</definedName>
    <definedName name="Database" localSheetId="7">#REF!</definedName>
    <definedName name="Database">#REF!</definedName>
    <definedName name="DECANEL" localSheetId="7">#REF!</definedName>
    <definedName name="DECANEL">#REF!</definedName>
    <definedName name="DERIVQT" localSheetId="7">[1]SERVIÇO!#REF!</definedName>
    <definedName name="DERIVQT">[1]SERVIÇO!#REF!</definedName>
    <definedName name="des" localSheetId="7">#REF!</definedName>
    <definedName name="des">#REF!</definedName>
    <definedName name="descnt" localSheetId="6">#REF!</definedName>
    <definedName name="descnt">#REF!</definedName>
    <definedName name="descont" localSheetId="6">#REF!</definedName>
    <definedName name="descont">#REF!</definedName>
    <definedName name="DESFORMA">#REF!</definedName>
    <definedName name="desm" localSheetId="6">#REF!</definedName>
    <definedName name="desm">#REF!</definedName>
    <definedName name="DGA" localSheetId="7">'[2]PRO-08'!#REF!</definedName>
    <definedName name="DGA">'[2]PRO-08'!#REF!</definedName>
    <definedName name="DIE" localSheetId="6">#REF!</definedName>
    <definedName name="DIE" localSheetId="7">#REF!</definedName>
    <definedName name="DIE">#REF!</definedName>
    <definedName name="DIF" localSheetId="6">#REF!</definedName>
    <definedName name="DIF">#REF!</definedName>
    <definedName name="DIFQT" localSheetId="7">[1]SERVIÇO!#REF!</definedName>
    <definedName name="DIFQT">[1]SERVIÇO!#REF!</definedName>
    <definedName name="DJ" localSheetId="7">#REF!</definedName>
    <definedName name="DJ">#REF!</definedName>
    <definedName name="DKM" localSheetId="6">#REF!</definedName>
    <definedName name="DKM" localSheetId="7">#REF!</definedName>
    <definedName name="DKM">#REF!</definedName>
    <definedName name="DNIT_aprovação">[5]Auxiliar!$K$2:$K$5</definedName>
    <definedName name="dsadf" localSheetId="7">{"total","SUM(total)","YNNNN",FALSE}</definedName>
    <definedName name="dsadf">{"total","SUM(total)","YNNNN",FALSE}</definedName>
    <definedName name="dwg">#REF!</definedName>
    <definedName name="DXS">#REF!</definedName>
    <definedName name="E" localSheetId="6">#REF!</definedName>
    <definedName name="E">#REF!</definedName>
    <definedName name="ECJ">#REF!</definedName>
    <definedName name="ecm" localSheetId="6">#REF!</definedName>
    <definedName name="ecm">#REF!</definedName>
    <definedName name="eee">NA()</definedName>
    <definedName name="EJ" localSheetId="7">#REF!</definedName>
    <definedName name="EJ">#REF!</definedName>
    <definedName name="ele" localSheetId="6">#REF!</definedName>
    <definedName name="ele" localSheetId="7">#REF!</definedName>
    <definedName name="ele">#REF!</definedName>
    <definedName name="ELEMENTO_VAZADO">#REF!</definedName>
    <definedName name="ELETRICISTA">#REF!</definedName>
    <definedName name="elr1\2">#REF!</definedName>
    <definedName name="elr1_2" localSheetId="6">#REF!</definedName>
    <definedName name="elr1_2">#REF!</definedName>
    <definedName name="elv50x40" localSheetId="6">#REF!</definedName>
    <definedName name="elv50x40">#REF!</definedName>
    <definedName name="EMPRESA">#REF!</definedName>
    <definedName name="enc" localSheetId="6">#REF!</definedName>
    <definedName name="enc">#REF!</definedName>
    <definedName name="ENCANADOR">#REF!</definedName>
    <definedName name="ENE" localSheetId="6">#REF!</definedName>
    <definedName name="ENE">#REF!</definedName>
    <definedName name="EnerConsAn" localSheetId="6">#REF!</definedName>
    <definedName name="EnerConsAn">#REF!</definedName>
    <definedName name="EnerConsAn_1" localSheetId="6">#REF!</definedName>
    <definedName name="EnerConsAn_1">#REF!</definedName>
    <definedName name="EnerConsAn_1_4" localSheetId="6">#REF!</definedName>
    <definedName name="EnerConsAn_1_4">#REF!</definedName>
    <definedName name="EnerConsAn_4" localSheetId="6">#REF!</definedName>
    <definedName name="EnerConsAn_4">#REF!</definedName>
    <definedName name="EnerConsAn_6" localSheetId="6">#REF!</definedName>
    <definedName name="EnerConsAn_6">#REF!</definedName>
    <definedName name="EnerConsAn_6_4" localSheetId="6">#REF!</definedName>
    <definedName name="EnerConsAn_6_4">#REF!</definedName>
    <definedName name="EnerDemAn" localSheetId="6">#REF!</definedName>
    <definedName name="EnerDemAn">#REF!</definedName>
    <definedName name="EnerDemAn_1" localSheetId="6">#REF!</definedName>
    <definedName name="EnerDemAn_1">#REF!</definedName>
    <definedName name="EnerDemAn_1_4" localSheetId="6">#REF!</definedName>
    <definedName name="EnerDemAn_1_4">#REF!</definedName>
    <definedName name="EnerDemAn_4" localSheetId="6">#REF!</definedName>
    <definedName name="EnerDemAn_4">#REF!</definedName>
    <definedName name="EnerDemAn_6" localSheetId="6">#REF!</definedName>
    <definedName name="EnerDemAn_6">#REF!</definedName>
    <definedName name="EnerDemAn_6_4" localSheetId="6">#REF!</definedName>
    <definedName name="EnerDemAn_6_4">#REF!</definedName>
    <definedName name="eng">#REF!</definedName>
    <definedName name="ENGATE_STORZ">#REF!</definedName>
    <definedName name="engenc">#REF!</definedName>
    <definedName name="epm2.5" localSheetId="6">#REF!</definedName>
    <definedName name="epm2.5">#REF!</definedName>
    <definedName name="EQPOTENC" localSheetId="7">[1]SERVIÇO!#REF!</definedName>
    <definedName name="EQPOTENC">[1]SERVIÇO!#REF!</definedName>
    <definedName name="ER">NA()</definedName>
    <definedName name="erfer" localSheetId="7">[4]ORC!#REF!</definedName>
    <definedName name="erfer">[4]ORC!#REF!</definedName>
    <definedName name="ESCORA">[3]Insumos!$I$72</definedName>
    <definedName name="esm" localSheetId="6">#REF!</definedName>
    <definedName name="esm" localSheetId="7">#REF!</definedName>
    <definedName name="esm">#REF!</definedName>
    <definedName name="ESPRGI" localSheetId="7">#REF!</definedName>
    <definedName name="ESPRGI">#REF!</definedName>
    <definedName name="ESPRGP">#REF!</definedName>
    <definedName name="est" localSheetId="6">#REF!</definedName>
    <definedName name="est">#REF!</definedName>
    <definedName name="est1.5_15" localSheetId="6">#REF!</definedName>
    <definedName name="est1.5_15">#REF!</definedName>
    <definedName name="EXA" localSheetId="7">'[2]PRO-08'!#REF!</definedName>
    <definedName name="EXA">'[2]PRO-08'!#REF!</definedName>
    <definedName name="Excel_BuiltIn__FilterDatabase" localSheetId="6">#REF!</definedName>
    <definedName name="Excel_BuiltIn__FilterDatabase" localSheetId="7">#REF!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 localSheetId="6">#REF!</definedName>
    <definedName name="Excel_BuiltIn_Print_Area_1_1" localSheetId="7">#REF!</definedName>
    <definedName name="Excel_BuiltIn_Print_Area_1_1">#REF!</definedName>
    <definedName name="Excel_BuiltIn_Print_Area_1_1_1" localSheetId="6">#REF!</definedName>
    <definedName name="Excel_BuiltIn_Print_Area_1_1_1">#REF!</definedName>
    <definedName name="Excel_BuiltIn_Print_Area_1_1_1_4" localSheetId="6">#REF!</definedName>
    <definedName name="Excel_BuiltIn_Print_Area_1_1_1_4">#REF!</definedName>
    <definedName name="Excel_BuiltIn_Print_Area_1_1_4" localSheetId="6">#REF!</definedName>
    <definedName name="Excel_BuiltIn_Print_Area_1_1_4">#REF!</definedName>
    <definedName name="Excel_BuiltIn_Print_Area_1_6" localSheetId="6">#REF!</definedName>
    <definedName name="Excel_BuiltIn_Print_Area_1_6">#REF!</definedName>
    <definedName name="Excel_BuiltIn_Print_Area_1_6_4" localSheetId="6">#REF!</definedName>
    <definedName name="Excel_BuiltIn_Print_Area_1_6_4">#REF!</definedName>
    <definedName name="Excel_BuiltIn_Print_Area_10">#REF!</definedName>
    <definedName name="Excel_BuiltIn_Print_Area_10_1" localSheetId="6">#REF!</definedName>
    <definedName name="Excel_BuiltIn_Print_Area_10_1">#REF!</definedName>
    <definedName name="Excel_BuiltIn_Print_Area_11">#REF!</definedName>
    <definedName name="Excel_BuiltIn_Print_Area_11_1" localSheetId="6">#REF!</definedName>
    <definedName name="Excel_BuiltIn_Print_Area_11_1">#REF!</definedName>
    <definedName name="Excel_BuiltIn_Print_Area_12">#REF!</definedName>
    <definedName name="Excel_BuiltIn_Print_Area_13">#REF!</definedName>
    <definedName name="Excel_BuiltIn_Print_Area_13_1" localSheetId="6">#REF!</definedName>
    <definedName name="Excel_BuiltIn_Print_Area_13_1">#REF!</definedName>
    <definedName name="Excel_BuiltIn_Print_Area_14">#REF!</definedName>
    <definedName name="Excel_BuiltIn_Print_Area_15_1" localSheetId="6">#REF!</definedName>
    <definedName name="Excel_BuiltIn_Print_Area_15_1">#REF!</definedName>
    <definedName name="Excel_BuiltIn_Print_Area_16_1" localSheetId="6">#REF!</definedName>
    <definedName name="Excel_BuiltIn_Print_Area_16_1">#REF!</definedName>
    <definedName name="Excel_BuiltIn_Print_Area_17_1" localSheetId="6">#REF!</definedName>
    <definedName name="Excel_BuiltIn_Print_Area_17_1">#REF!</definedName>
    <definedName name="Excel_BuiltIn_Print_Area_18_1" localSheetId="6">#REF!</definedName>
    <definedName name="Excel_BuiltIn_Print_Area_18_1">#REF!</definedName>
    <definedName name="Excel_BuiltIn_Print_Area_2_1">#REF!</definedName>
    <definedName name="Excel_BuiltIn_Print_Area_2_1_1">NA()</definedName>
    <definedName name="Excel_BuiltIn_Print_Area_20" localSheetId="6">#REF!</definedName>
    <definedName name="Excel_BuiltIn_Print_Area_20" localSheetId="7">#REF!</definedName>
    <definedName name="Excel_BuiltIn_Print_Area_20">#REF!</definedName>
    <definedName name="Excel_BuiltIn_Print_Area_21" localSheetId="6">#REF!</definedName>
    <definedName name="Excel_BuiltIn_Print_Area_21">#REF!</definedName>
    <definedName name="Excel_BuiltIn_Print_Area_21_1" localSheetId="6">#REF!</definedName>
    <definedName name="Excel_BuiltIn_Print_Area_21_1">#REF!</definedName>
    <definedName name="Excel_BuiltIn_Print_Area_21_1_4" localSheetId="6">#REF!</definedName>
    <definedName name="Excel_BuiltIn_Print_Area_21_1_4">#REF!</definedName>
    <definedName name="Excel_BuiltIn_Print_Area_21_4" localSheetId="6">#REF!</definedName>
    <definedName name="Excel_BuiltIn_Print_Area_21_4">#REF!</definedName>
    <definedName name="Excel_BuiltIn_Print_Area_21_6" localSheetId="6">#REF!</definedName>
    <definedName name="Excel_BuiltIn_Print_Area_21_6">#REF!</definedName>
    <definedName name="Excel_BuiltIn_Print_Area_21_6_4" localSheetId="6">#REF!</definedName>
    <definedName name="Excel_BuiltIn_Print_Area_21_6_4">#REF!</definedName>
    <definedName name="Excel_BuiltIn_Print_Area_23_1" localSheetId="6">#REF!</definedName>
    <definedName name="Excel_BuiltIn_Print_Area_23_1">#REF!</definedName>
    <definedName name="Excel_BuiltIn_Print_Area_26" localSheetId="6">#REF!</definedName>
    <definedName name="Excel_BuiltIn_Print_Area_26">#REF!</definedName>
    <definedName name="Excel_BuiltIn_Print_Area_26_1" localSheetId="6">#REF!</definedName>
    <definedName name="Excel_BuiltIn_Print_Area_26_1">#REF!</definedName>
    <definedName name="Excel_BuiltIn_Print_Area_26_1_4" localSheetId="6">#REF!</definedName>
    <definedName name="Excel_BuiltIn_Print_Area_26_1_4">#REF!</definedName>
    <definedName name="Excel_BuiltIn_Print_Area_26_4" localSheetId="6">#REF!</definedName>
    <definedName name="Excel_BuiltIn_Print_Area_26_4">#REF!</definedName>
    <definedName name="Excel_BuiltIn_Print_Area_26_6" localSheetId="6">#REF!</definedName>
    <definedName name="Excel_BuiltIn_Print_Area_26_6">#REF!</definedName>
    <definedName name="Excel_BuiltIn_Print_Area_26_6_4" localSheetId="6">#REF!</definedName>
    <definedName name="Excel_BuiltIn_Print_Area_26_6_4">#REF!</definedName>
    <definedName name="Excel_BuiltIn_Print_Area_27_1" localSheetId="6">#REF!</definedName>
    <definedName name="Excel_BuiltIn_Print_Area_27_1">#REF!</definedName>
    <definedName name="Excel_BuiltIn_Print_Area_3">#REF!</definedName>
    <definedName name="Excel_BuiltIn_Print_Area_3_1" localSheetId="6">#REF!</definedName>
    <definedName name="Excel_BuiltIn_Print_Area_3_1">#REF!</definedName>
    <definedName name="Excel_BuiltIn_Print_Area_33_1" localSheetId="6">#REF!</definedName>
    <definedName name="Excel_BuiltIn_Print_Area_33_1">#REF!</definedName>
    <definedName name="Excel_BuiltIn_Print_Area_4" localSheetId="6">#REF!</definedName>
    <definedName name="Excel_BuiltIn_Print_Area_4">#REF!</definedName>
    <definedName name="Excel_BuiltIn_Print_Area_5">#REF!</definedName>
    <definedName name="Excel_BuiltIn_Print_Area_5_1" localSheetId="6">#REF!</definedName>
    <definedName name="Excel_BuiltIn_Print_Area_5_1">#REF!</definedName>
    <definedName name="Excel_BuiltIn_Print_Area_6_1" localSheetId="6">#REF!</definedName>
    <definedName name="Excel_BuiltIn_Print_Area_6_1">#REF!</definedName>
    <definedName name="Excel_BuiltIn_Print_Area_7_1" localSheetId="6">(#REF!,#REF!,#REF!,#REF!,#REF!)</definedName>
    <definedName name="Excel_BuiltIn_Print_Area_7_1" localSheetId="7">(#REF!,#REF!,#REF!,#REF!,#REF!)</definedName>
    <definedName name="Excel_BuiltIn_Print_Area_7_1">(#REF!,#REF!,#REF!,#REF!,#REF!)</definedName>
    <definedName name="Excel_BuiltIn_Print_Area_8">#REF!</definedName>
    <definedName name="Excel_BuiltIn_Print_Area_9">#REF!</definedName>
    <definedName name="Excel_BuiltIn_Print_Area_9_1" localSheetId="6">#REF!</definedName>
    <definedName name="Excel_BuiltIn_Print_Area_9_1">#REF!</definedName>
    <definedName name="Excel_BuiltIn_Print_Titles" localSheetId="6">#REF!</definedName>
    <definedName name="Excel_BuiltIn_Print_Titles">#REF!</definedName>
    <definedName name="Excel_BuiltIn_Print_Titles_1" localSheetId="6">#REF!</definedName>
    <definedName name="Excel_BuiltIn_Print_Titles_1">#REF!</definedName>
    <definedName name="Excel_BuiltIn_Print_Titles_1_1" localSheetId="6">#REF!</definedName>
    <definedName name="Excel_BuiltIn_Print_Titles_1_1">#REF!</definedName>
    <definedName name="Excel_BuiltIn_Print_Titles_1_1_4" localSheetId="6">#REF!</definedName>
    <definedName name="Excel_BuiltIn_Print_Titles_1_1_4">#REF!</definedName>
    <definedName name="Excel_BuiltIn_Print_Titles_1_4" localSheetId="6">#REF!</definedName>
    <definedName name="Excel_BuiltIn_Print_Titles_1_4">#REF!</definedName>
    <definedName name="Excel_BuiltIn_Print_Titles_1_6" localSheetId="6">#REF!</definedName>
    <definedName name="Excel_BuiltIn_Print_Titles_1_6">#REF!</definedName>
    <definedName name="Excel_BuiltIn_Print_Titles_1_6_4" localSheetId="6">#REF!</definedName>
    <definedName name="Excel_BuiltIn_Print_Titles_1_6_4">#REF!</definedName>
    <definedName name="Excel_BuiltIn_Print_Titles_10" localSheetId="6">#REF!</definedName>
    <definedName name="Excel_BuiltIn_Print_Titles_10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6">#REF!</definedName>
    <definedName name="Excel_BuiltIn_Print_Titles_16_5" localSheetId="7">#REF!</definedName>
    <definedName name="Excel_BuiltIn_Print_Titles_16_5">#REF!</definedName>
    <definedName name="Excel_BuiltIn_Print_Titles_16_5_4" localSheetId="6">#REF!</definedName>
    <definedName name="Excel_BuiltIn_Print_Titles_16_5_4">#REF!</definedName>
    <definedName name="Excel_BuiltIn_Print_Titles_16_6" localSheetId="6">#REF!</definedName>
    <definedName name="Excel_BuiltIn_Print_Titles_16_6">#REF!</definedName>
    <definedName name="Excel_BuiltIn_Print_Titles_16_6_4" localSheetId="6">#REF!</definedName>
    <definedName name="Excel_BuiltIn_Print_Titles_16_6_4">#REF!</definedName>
    <definedName name="Excel_BuiltIn_Print_Titles_16_8" localSheetId="6">#REF!</definedName>
    <definedName name="Excel_BuiltIn_Print_Titles_16_8">#REF!</definedName>
    <definedName name="Excel_BuiltIn_Print_Titles_16_8_4" localSheetId="6">#REF!</definedName>
    <definedName name="Excel_BuiltIn_Print_Titles_16_8_4">#REF!</definedName>
    <definedName name="Excel_BuiltIn_Print_Titles_18" localSheetId="6">#REF!</definedName>
    <definedName name="Excel_BuiltIn_Print_Titles_18">#REF!</definedName>
    <definedName name="Excel_BuiltIn_Print_Titles_2_1">#REF!</definedName>
    <definedName name="Excel_BuiltIn_Print_Titles_2_1_1" localSheetId="7">#REF!,#REF!</definedName>
    <definedName name="Excel_BuiltIn_Print_Titles_2_1_1">#REF!,#REF!</definedName>
    <definedName name="Excel_BuiltIn_Print_Titles_20" localSheetId="6">#REF!</definedName>
    <definedName name="Excel_BuiltIn_Print_Titles_20" localSheetId="7">#REF!</definedName>
    <definedName name="Excel_BuiltIn_Print_Titles_20">#REF!</definedName>
    <definedName name="Excel_BuiltIn_Print_Titles_3">NA()</definedName>
    <definedName name="Excel_BuiltIn_Print_Titles_3_1_1" localSheetId="7">#REF!,#REF!</definedName>
    <definedName name="Excel_BuiltIn_Print_Titles_3_1_1">#REF!,#REF!</definedName>
    <definedName name="Excel_BuiltIn_Print_Titles_3_1_1_1" localSheetId="7">#REF!,#REF!</definedName>
    <definedName name="Excel_BuiltIn_Print_Titles_3_1_1_1">#REF!,#REF!</definedName>
    <definedName name="Excel_BuiltIn_Print_Titles_3_1_1_1_1" localSheetId="7">#REF!,#REF!</definedName>
    <definedName name="Excel_BuiltIn_Print_Titles_3_1_1_1_1">#REF!,#REF!</definedName>
    <definedName name="Excel_BuiltIn_Print_Titles_3_1_1_1_1_1" localSheetId="7">#REF!</definedName>
    <definedName name="Excel_BuiltIn_Print_Titles_3_1_1_1_1_1">#REF!</definedName>
    <definedName name="Excel_BuiltIn_Print_Titles_8" localSheetId="7">#REF!</definedName>
    <definedName name="Excel_BuiltIn_Print_Titles_8">#REF!</definedName>
    <definedName name="ext" localSheetId="7">#REF!</definedName>
    <definedName name="ext">#REF!</definedName>
    <definedName name="Extenso" localSheetId="7">'PROJETO EXECUTIVO'!Extenso</definedName>
    <definedName name="Extenso">Extenso</definedName>
    <definedName name="F" localSheetId="7">[4]ORC!#REF!</definedName>
    <definedName name="F">[4]ORC!#REF!</definedName>
    <definedName name="FATOR">NA()</definedName>
    <definedName name="fc1a" localSheetId="7">'[2]PRO-08'!#REF!</definedName>
    <definedName name="fc1a">'[2]PRO-08'!#REF!</definedName>
    <definedName name="FC2A" localSheetId="7">'[2]PRO-08'!#REF!</definedName>
    <definedName name="FC2A">'[2]PRO-08'!#REF!</definedName>
    <definedName name="FC3A" localSheetId="7">'[2]PRO-08'!#REF!</definedName>
    <definedName name="FC3A">'[2]PRO-08'!#REF!</definedName>
    <definedName name="fcd">'[6]CPU ATRIUM'!$D:$D</definedName>
    <definedName name="fcm" localSheetId="6">#REF!</definedName>
    <definedName name="fcm" localSheetId="7">#REF!</definedName>
    <definedName name="fcm">#REF!</definedName>
    <definedName name="FCRITER" localSheetId="7">[1]SERVIÇO!#REF!</definedName>
    <definedName name="FCRITER">[1]SERVIÇO!#REF!</definedName>
    <definedName name="fda" localSheetId="7">{"total","SUM(total)","YNNNN",FALSE}</definedName>
    <definedName name="fda">{"total","SUM(total)","YNNNN",FALSE}</definedName>
    <definedName name="fds">#REF!</definedName>
    <definedName name="fdsa">#REF!</definedName>
    <definedName name="fe">#REF!</definedName>
    <definedName name="fer" localSheetId="6">#REF!</definedName>
    <definedName name="fer">#REF!</definedName>
    <definedName name="FFFFFF">#REF!</definedName>
    <definedName name="FGV_alteração">[5]Auxiliar!$J$2:$J$4</definedName>
    <definedName name="FoFo" localSheetId="6">#REF!</definedName>
    <definedName name="FoFo" localSheetId="7">#REF!</definedName>
    <definedName name="FoFo">#REF!</definedName>
    <definedName name="FORMA_MAD_BRANCA" localSheetId="7">#REF!</definedName>
    <definedName name="FORMA_MAD_BRANCA">#REF!</definedName>
    <definedName name="Formatação_Amarelo_comCusto">INDIRECT("'Analítico CCUs'!$W$2:$X$"&amp;'[7]Analítico CCUs'!$E$2)</definedName>
    <definedName name="Formatação_Azul">INDIRECT("'Analítico CCUs'!$P$2:$X$"&amp;'[7]Analítico CCUs'!$E$2)</definedName>
    <definedName name="Formatação_Vermelho">INDIRECT("'Analítico CCUs'!$F$2:$N$"&amp;'[7]Analítico CCUs'!$E$2)</definedName>
    <definedName name="fossa" localSheetId="6">#REF!</definedName>
    <definedName name="fossa" localSheetId="7">#REF!</definedName>
    <definedName name="fossa">#REF!</definedName>
    <definedName name="Fromatação_Amarelo_semCusto">INDIRECT("'Analítico CCUs'!$P$2:$V$"&amp;'[7]Analítico CCUs'!$E$2)</definedName>
    <definedName name="fsa">#REF!</definedName>
    <definedName name="FT" localSheetId="6">#REF!</definedName>
    <definedName name="FT">#REF!</definedName>
    <definedName name="FunE" localSheetId="6">#REF!</definedName>
    <definedName name="FunE">#REF!</definedName>
    <definedName name="FunE_1" localSheetId="6">#REF!</definedName>
    <definedName name="FunE_1">#REF!</definedName>
    <definedName name="FunE_1_4" localSheetId="6">#REF!</definedName>
    <definedName name="FunE_1_4">#REF!</definedName>
    <definedName name="FunE_4" localSheetId="6">#REF!</definedName>
    <definedName name="FunE_4">#REF!</definedName>
    <definedName name="FunE_6" localSheetId="6">#REF!</definedName>
    <definedName name="FunE_6">#REF!</definedName>
    <definedName name="FunE_6_4" localSheetId="6">#REF!</definedName>
    <definedName name="FunE_6_4">#REF!</definedName>
    <definedName name="FunInt" localSheetId="6">#REF!</definedName>
    <definedName name="FunInt">#REF!</definedName>
    <definedName name="FunInt_1" localSheetId="6">#REF!</definedName>
    <definedName name="FunInt_1">#REF!</definedName>
    <definedName name="FunInt_1_4" localSheetId="6">#REF!</definedName>
    <definedName name="FunInt_1_4">#REF!</definedName>
    <definedName name="FunInt_4" localSheetId="6">#REF!</definedName>
    <definedName name="FunInt_4">#REF!</definedName>
    <definedName name="FunInt_6" localSheetId="6">#REF!</definedName>
    <definedName name="FunInt_6">#REF!</definedName>
    <definedName name="FunInt_6_4" localSheetId="6">#REF!</definedName>
    <definedName name="FunInt_6_4">#REF!</definedName>
    <definedName name="FunR" localSheetId="6">#REF!</definedName>
    <definedName name="FunR">#REF!</definedName>
    <definedName name="FunR_1" localSheetId="6">#REF!</definedName>
    <definedName name="FunR_1">#REF!</definedName>
    <definedName name="FunR_1_4" localSheetId="6">#REF!</definedName>
    <definedName name="FunR_1_4">#REF!</definedName>
    <definedName name="FunR_4" localSheetId="6">#REF!</definedName>
    <definedName name="FunR_4">#REF!</definedName>
    <definedName name="FunR_6" localSheetId="6">#REF!</definedName>
    <definedName name="FunR_6">#REF!</definedName>
    <definedName name="FunR_6_4" localSheetId="6">#REF!</definedName>
    <definedName name="FunR_6_4">#REF!</definedName>
    <definedName name="G">#REF!</definedName>
    <definedName name="GAS" localSheetId="6">#REF!</definedName>
    <definedName name="GAS">#REF!</definedName>
    <definedName name="GAS_CARBONICO_6KG">#REF!</definedName>
    <definedName name="gdc" localSheetId="6">#REF!</definedName>
    <definedName name="gdc">#REF!</definedName>
    <definedName name="GESSO">#REF!</definedName>
    <definedName name="GFD">#REF!</definedName>
    <definedName name="gfg" localSheetId="6">#REF!</definedName>
    <definedName name="gfg">#REF!</definedName>
    <definedName name="gfv">#REF!</definedName>
    <definedName name="ggm" localSheetId="6">#REF!</definedName>
    <definedName name="ggm">#REF!</definedName>
    <definedName name="ghb">#REF!</definedName>
    <definedName name="ghj">#REF!</definedName>
    <definedName name="graf" localSheetId="6">#REF!</definedName>
    <definedName name="graf">#REF!</definedName>
    <definedName name="GRANITO_AMENDOA">#REF!</definedName>
    <definedName name="GRANITO_CINZA_CORUMBA">#REF!</definedName>
    <definedName name="GRDI">#REF!</definedName>
    <definedName name="GRDP">#REF!</definedName>
    <definedName name="GRI" localSheetId="6">#REF!</definedName>
    <definedName name="GRI">#REF!</definedName>
    <definedName name="GRP" localSheetId="6">#REF!</definedName>
    <definedName name="GRP">#REF!</definedName>
    <definedName name="grx" localSheetId="6">#REF!</definedName>
    <definedName name="grx">#REF!</definedName>
    <definedName name="GUSTAVO" localSheetId="7">{"total","SUM(total)","YNNNN",FALSE}</definedName>
    <definedName name="GUSTAVO">{"total","SUM(total)","YNNNN",FALSE}</definedName>
    <definedName name="gvc">#REF!</definedName>
    <definedName name="hi" localSheetId="7">#REF!</definedName>
    <definedName name="hi">#REF!</definedName>
    <definedName name="hid1_2" localSheetId="6">#REF!</definedName>
    <definedName name="hid1_2">#REF!</definedName>
    <definedName name="HJN">#REF!</definedName>
    <definedName name="HOJE" localSheetId="7">[1]SERVIÇO!#REF!</definedName>
    <definedName name="HOJE">[1]SERVIÇO!#REF!</definedName>
    <definedName name="I" localSheetId="7">#REF!</definedName>
    <definedName name="I">#REF!</definedName>
    <definedName name="IGOL_2" localSheetId="7">#REF!</definedName>
    <definedName name="IGOL_2">#REF!</definedName>
    <definedName name="IGOLFLEX" localSheetId="7">#REF!</definedName>
    <definedName name="IGOLFLEX">#REF!</definedName>
    <definedName name="IM">#REF!</definedName>
    <definedName name="IMPERMEABILIZANTE_SIKA">#REF!</definedName>
    <definedName name="IMPF" localSheetId="7">[1]SERVIÇO!#REF!</definedName>
    <definedName name="IMPF">[1]SERVIÇO!#REF!</definedName>
    <definedName name="IMPI" localSheetId="7">[1]SERVIÇO!#REF!</definedName>
    <definedName name="IMPI">[1]SERVIÇO!#REF!</definedName>
    <definedName name="Insumos">'[8]RELAÇÃO - COMPOSIÇÕES E INSUMOS'!$A$7:$D$337</definedName>
    <definedName name="ipf" localSheetId="6">#REF!</definedName>
    <definedName name="ipf" localSheetId="7">#REF!</definedName>
    <definedName name="ipf">#REF!</definedName>
    <definedName name="ITEMCONT" localSheetId="7">[1]SERVIÇO!#REF!</definedName>
    <definedName name="ITEMCONT">[1]SERVIÇO!#REF!</definedName>
    <definedName name="ITEMDER" localSheetId="7">[1]SERVIÇO!#REF!</definedName>
    <definedName name="ITEMDER">[1]SERVIÇO!#REF!</definedName>
    <definedName name="ITEMEQP" localSheetId="7">[1]SERVIÇO!#REF!</definedName>
    <definedName name="ITEMEQP">[1]SERVIÇO!#REF!</definedName>
    <definedName name="ITEMMUR" localSheetId="7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itus1">#REF!</definedName>
    <definedName name="j">#REF!</definedName>
    <definedName name="jazida5" localSheetId="6">#REF!</definedName>
    <definedName name="jazida5" localSheetId="4">#REF!</definedName>
    <definedName name="jazida5">#REF!</definedName>
    <definedName name="jazida6" localSheetId="6">#REF!</definedName>
    <definedName name="jazida6" localSheetId="4">#REF!</definedName>
    <definedName name="jazida6">#REF!</definedName>
    <definedName name="JJJ">#REF!</definedName>
    <definedName name="jla1\220">#REF!</definedName>
    <definedName name="jla1_220" localSheetId="6">#REF!</definedName>
    <definedName name="jla1_220">#REF!</definedName>
    <definedName name="JOAO">#REF!</definedName>
    <definedName name="JRS" localSheetId="6">#REF!</definedName>
    <definedName name="JRS">#REF!</definedName>
    <definedName name="JUNTA_PLÁSTICA">#REF!</definedName>
    <definedName name="KJH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 localSheetId="7">[1]SERVIÇO!#REF!</definedName>
    <definedName name="LIN">[1]SERVIÇO!#REF!</definedName>
    <definedName name="LIQUIDO_PREPARADOR" localSheetId="7">#REF!</definedName>
    <definedName name="LIQUIDO_PREPARADOR">#REF!</definedName>
    <definedName name="LIQUIDO_SELADOR">[3]Insumos!$I$361</definedName>
    <definedName name="LISTSEL" localSheetId="7">[1]SERVIÇO!#REF!</definedName>
    <definedName name="LISTSEL">[1]SERVIÇO!#REF!</definedName>
    <definedName name="LIXA_FERRO" localSheetId="7">#REF!</definedName>
    <definedName name="LIXA_FERRO">#REF!</definedName>
    <definedName name="LIXA_MADEIRA">[3]Insumos!$I$374</definedName>
    <definedName name="lkj">#REF!</definedName>
    <definedName name="llllllll">[4]ORC!#REF!</definedName>
    <definedName name="lm6_3" localSheetId="6">#REF!</definedName>
    <definedName name="lm6_3" localSheetId="7">#REF!</definedName>
    <definedName name="lm6_3">#REF!</definedName>
    <definedName name="lnm" localSheetId="6">#REF!</definedName>
    <definedName name="lnm" localSheetId="7">#REF!</definedName>
    <definedName name="lnm">#REF!</definedName>
    <definedName name="LOCAB" localSheetId="7">[1]SERVIÇO!#REF!</definedName>
    <definedName name="LOCAB">[1]SERVIÇO!#REF!</definedName>
    <definedName name="LOCAL" localSheetId="7">[1]SERVIÇO!#REF!</definedName>
    <definedName name="LOCAL">[1]SERVIÇO!#REF!</definedName>
    <definedName name="lpb" localSheetId="6">#REF!</definedName>
    <definedName name="lpb" localSheetId="7">#REF!</definedName>
    <definedName name="lpb">#REF!</definedName>
    <definedName name="ls" localSheetId="6">#REF!</definedName>
    <definedName name="ls" localSheetId="4">#REF!</definedName>
    <definedName name="ls">#REF!</definedName>
    <definedName name="ls_1" localSheetId="6">#REF!</definedName>
    <definedName name="ls_1">#REF!</definedName>
    <definedName name="LSO" localSheetId="6">#REF!</definedName>
    <definedName name="LSO">#REF!</definedName>
    <definedName name="lub" localSheetId="6">#REF!</definedName>
    <definedName name="lub" localSheetId="4">#REF!</definedName>
    <definedName name="lub">#REF!</definedName>
    <definedName name="lub_1" localSheetId="6">#REF!</definedName>
    <definedName name="lub_1">#REF!</definedName>
    <definedName name="lvg12050\1">#REF!</definedName>
    <definedName name="lvg12050_1" localSheetId="6">#REF!</definedName>
    <definedName name="lvg12050_1">#REF!</definedName>
    <definedName name="lvp1\2">#REF!</definedName>
    <definedName name="lvp1_2" localSheetId="6">#REF!</definedName>
    <definedName name="lvp1_2">#REF!</definedName>
    <definedName name="lvr" localSheetId="6">#REF!</definedName>
    <definedName name="lvr">#REF!</definedName>
    <definedName name="lxa" localSheetId="6">#REF!</definedName>
    <definedName name="lxa">#REF!</definedName>
    <definedName name="lxaf" localSheetId="6">#REF!</definedName>
    <definedName name="lxaf">#REF!</definedName>
    <definedName name="mad" localSheetId="6">#REF!</definedName>
    <definedName name="mad">#REF!</definedName>
    <definedName name="MANGUEIRA_30_M">#REF!</definedName>
    <definedName name="map" localSheetId="6">#REF!</definedName>
    <definedName name="map">#REF!</definedName>
    <definedName name="MARCAX" localSheetId="7">[1]SERVIÇO!#REF!</definedName>
    <definedName name="MARCAX">[1]SERVIÇO!#REF!</definedName>
    <definedName name="MARCENEIRO" localSheetId="7">#REF!</definedName>
    <definedName name="MARCENEIRO">#REF!</definedName>
    <definedName name="MARMORE_BRANCO" localSheetId="7">#REF!</definedName>
    <definedName name="MARMORE_BRANCO">#REF!</definedName>
    <definedName name="Mary" localSheetId="7">{"total","SUM(total)","YNNNN",FALSE}</definedName>
    <definedName name="Mary">{"total","SUM(total)","YNNNN",FALSE}</definedName>
    <definedName name="MASSA_OLEO" localSheetId="7">#REF!</definedName>
    <definedName name="MASSA_OLEO">#REF!</definedName>
    <definedName name="MASSA_PVA">[3]Insumos!$I$363</definedName>
    <definedName name="MBBI">#REF!</definedName>
    <definedName name="MBBP">#REF!</definedName>
    <definedName name="MBV" localSheetId="6">#REF!</definedName>
    <definedName name="MBV" localSheetId="7">#REF!</definedName>
    <definedName name="MBV">#REF!</definedName>
    <definedName name="mdn" localSheetId="6">#REF!</definedName>
    <definedName name="mdn">#REF!</definedName>
    <definedName name="Medição">#REF!</definedName>
    <definedName name="meio" localSheetId="6">#REF!</definedName>
    <definedName name="meio" localSheetId="4">#REF!</definedName>
    <definedName name="meio">#REF!</definedName>
    <definedName name="meio_1" localSheetId="6">#REF!</definedName>
    <definedName name="meio_1">#REF!</definedName>
    <definedName name="MENUBOM" localSheetId="7">[1]SERVIÇO!#REF!</definedName>
    <definedName name="MENUBOM">[1]SERVIÇO!#REF!</definedName>
    <definedName name="MENUEQP" localSheetId="7">[1]SERVIÇO!#REF!</definedName>
    <definedName name="MENUEQP">[1]SERVIÇO!#REF!</definedName>
    <definedName name="MENUFIM" localSheetId="7">[1]SERVIÇO!#REF!</definedName>
    <definedName name="MENUFIM">[1]SERVIÇO!#REF!</definedName>
    <definedName name="MENUMED" localSheetId="7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 localSheetId="7">{"total","SUM(total)","YNNNN",FALSE}</definedName>
    <definedName name="Mirin">{"total","SUM(total)","YNNNN",FALSE}</definedName>
    <definedName name="MNI" localSheetId="6">#REF!</definedName>
    <definedName name="MNI">#REF!</definedName>
    <definedName name="MNP" localSheetId="6">#REF!</definedName>
    <definedName name="MNP">#REF!</definedName>
    <definedName name="MNVI">#REF!</definedName>
    <definedName name="MNVP">#REF!</definedName>
    <definedName name="MOD" localSheetId="7">{"total","SUM(total)","YNNNN",FALSE}</definedName>
    <definedName name="MOD">{"total","SUM(total)","YNNNN",FALSE}</definedName>
    <definedName name="MODIFICAÇÃO" localSheetId="7">{"total","SUM(total)","YNNNN",FALSE}</definedName>
    <definedName name="MODIFICAÇÃO">{"total","SUM(total)","YNNNN",FALSE}</definedName>
    <definedName name="módulo1.Extenso" localSheetId="7">'PROJETO EXECUTIVO'!módulo1.Extenso</definedName>
    <definedName name="módulo1.Extenso">módulo1.Extenso</definedName>
    <definedName name="mour" localSheetId="6">#REF!</definedName>
    <definedName name="mour" localSheetId="7">#REF!</definedName>
    <definedName name="mour">#REF!</definedName>
    <definedName name="mpm2.5" localSheetId="6">#REF!</definedName>
    <definedName name="mpm2.5" localSheetId="7">#REF!</definedName>
    <definedName name="mpm2.5">#REF!</definedName>
    <definedName name="MS621I">#REF!</definedName>
    <definedName name="MS621P">#REF!</definedName>
    <definedName name="msv" localSheetId="6">#REF!</definedName>
    <definedName name="msv">#REF!</definedName>
    <definedName name="MUNCKI">#REF!</definedName>
    <definedName name="MUNCKP">#REF!</definedName>
    <definedName name="MUNICIPIO" localSheetId="7">[1]SERVIÇO!#REF!</definedName>
    <definedName name="MUNICIPIO">[1]SERVIÇO!#REF!</definedName>
    <definedName name="MURBOMB" localSheetId="7">[1]SERVIÇO!#REF!</definedName>
    <definedName name="MURBOMB">[1]SERVIÇO!#REF!</definedName>
    <definedName name="NDATA" localSheetId="7">[1]SERVIÇO!#REF!</definedName>
    <definedName name="NDATA">[1]SERVIÇO!#REF!</definedName>
    <definedName name="niv" localSheetId="7">#REF!</definedName>
    <definedName name="niv">#REF!</definedName>
    <definedName name="nome" localSheetId="6">#REF!</definedName>
    <definedName name="nome" localSheetId="7">#REF!</definedName>
    <definedName name="nome">#REF!</definedName>
    <definedName name="nome_4" localSheetId="6">#REF!</definedName>
    <definedName name="nome_4" localSheetId="7">#REF!</definedName>
    <definedName name="nome_4">#REF!</definedName>
    <definedName name="nrjCfh" localSheetId="6">#REF!</definedName>
    <definedName name="nrjCfh">#REF!</definedName>
    <definedName name="nrjCfh_1" localSheetId="6">#REF!</definedName>
    <definedName name="nrjCfh_1">#REF!</definedName>
    <definedName name="nrjCfh_1_4" localSheetId="6">#REF!</definedName>
    <definedName name="nrjCfh_1_4">#REF!</definedName>
    <definedName name="nrjCfh_4" localSheetId="6">#REF!</definedName>
    <definedName name="nrjCfh_4">#REF!</definedName>
    <definedName name="nrjCfh_6" localSheetId="6">#REF!</definedName>
    <definedName name="nrjCfh_6">#REF!</definedName>
    <definedName name="nrjCfh_6_4" localSheetId="6">#REF!</definedName>
    <definedName name="nrjCfh_6_4">#REF!</definedName>
    <definedName name="nrjCVh" localSheetId="6">#REF!</definedName>
    <definedName name="nrjCVh">#REF!</definedName>
    <definedName name="nrjCVh_1" localSheetId="6">#REF!</definedName>
    <definedName name="nrjCVh_1">#REF!</definedName>
    <definedName name="nrjCVh_1_4" localSheetId="6">#REF!</definedName>
    <definedName name="nrjCVh_1_4">#REF!</definedName>
    <definedName name="nrjCVh_4" localSheetId="6">#REF!</definedName>
    <definedName name="nrjCVh_4">#REF!</definedName>
    <definedName name="nrjCVh_6" localSheetId="6">#REF!</definedName>
    <definedName name="nrjCVh_6">#REF!</definedName>
    <definedName name="nrjCVh_6_4" localSheetId="6">#REF!</definedName>
    <definedName name="nrjCVh_6_4">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d" localSheetId="6">#REF!</definedName>
    <definedName name="od" localSheetId="4">#REF!</definedName>
    <definedName name="od">#REF!</definedName>
    <definedName name="od_1" localSheetId="6">#REF!</definedName>
    <definedName name="od_1">#REF!</definedName>
    <definedName name="odi" localSheetId="6">#REF!</definedName>
    <definedName name="odi">#REF!</definedName>
    <definedName name="of" localSheetId="6">#REF!</definedName>
    <definedName name="of" localSheetId="4">#REF!</definedName>
    <definedName name="of">#REF!</definedName>
    <definedName name="of_1" localSheetId="6">#REF!</definedName>
    <definedName name="of_1">#REF!</definedName>
    <definedName name="ofc">#REF!</definedName>
    <definedName name="ofi" localSheetId="6">#REF!</definedName>
    <definedName name="ofi">#REF!</definedName>
    <definedName name="OGU" localSheetId="6">#REF!</definedName>
    <definedName name="OGU">#REF!</definedName>
    <definedName name="OK">#REF!</definedName>
    <definedName name="oli" localSheetId="6">#REF!</definedName>
    <definedName name="oli">#REF!</definedName>
    <definedName name="OOO">#REF!</definedName>
    <definedName name="OPA">'[2]PRO-08'!#REF!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41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ar" localSheetId="6">#REF!</definedName>
    <definedName name="Par">#REF!</definedName>
    <definedName name="PARAFUSO_PARA_LOUÇA">#REF!</definedName>
    <definedName name="pcf60x210" localSheetId="6">#REF!</definedName>
    <definedName name="pcf60x210">#REF!</definedName>
    <definedName name="pcf80x200" localSheetId="6">#REF!</definedName>
    <definedName name="pcf80x200">#REF!</definedName>
    <definedName name="pcf80x210" localSheetId="6">#REF!</definedName>
    <definedName name="pcf80x210">#REF!</definedName>
    <definedName name="pcfc" localSheetId="6">#REF!</definedName>
    <definedName name="pcfc">#REF!</definedName>
    <definedName name="PDER" localSheetId="7">[1]SERVIÇO!#REF!</definedName>
    <definedName name="PDER">[1]SERVIÇO!#REF!</definedName>
    <definedName name="PDIVERS" localSheetId="7">[1]SERVIÇO!#REF!</definedName>
    <definedName name="PDIVERS">[1]SERVIÇO!#REF!</definedName>
    <definedName name="pdm" localSheetId="6">#REF!</definedName>
    <definedName name="pdm" localSheetId="4">#REF!</definedName>
    <definedName name="pdm">#REF!</definedName>
    <definedName name="pdm_1" localSheetId="6">#REF!</definedName>
    <definedName name="pdm_1">#REF!</definedName>
    <definedName name="PEÇA_6_X_3_MAD_LEI">#REF!</definedName>
    <definedName name="pedra" localSheetId="6">#REF!</definedName>
    <definedName name="pedra" localSheetId="4">#REF!</definedName>
    <definedName name="pedra">#REF!</definedName>
    <definedName name="pedra_1" localSheetId="6">#REF!</definedName>
    <definedName name="pedra_1">#REF!</definedName>
    <definedName name="PEDRA_PRETA">[3]Insumos!$I$12</definedName>
    <definedName name="PEDREIRO" localSheetId="7">#REF!</definedName>
    <definedName name="PEDREIRO">#REF!</definedName>
    <definedName name="PEMD" localSheetId="7">[1]SERVIÇO!#REF!</definedName>
    <definedName name="PEMD">[1]SERVIÇO!#REF!</definedName>
    <definedName name="PERNAMANCA">[3]Insumos!$I$71</definedName>
    <definedName name="PERNAMANCA_MAD_LEI" localSheetId="7">#REF!</definedName>
    <definedName name="PERNAMANCA_MAD_LEI">#REF!</definedName>
    <definedName name="pes" localSheetId="6">#REF!</definedName>
    <definedName name="pes">#REF!</definedName>
    <definedName name="pesquisa">#REF!</definedName>
    <definedName name="PIEQUIP" localSheetId="7">[1]SERVIÇO!#REF!</definedName>
    <definedName name="PIEQUIP">[1]SERVIÇO!#REF!</definedName>
    <definedName name="pig" localSheetId="6">#REF!</definedName>
    <definedName name="pig" localSheetId="7">#REF!</definedName>
    <definedName name="pig">#REF!</definedName>
    <definedName name="PII" localSheetId="6">#REF!</definedName>
    <definedName name="PII" localSheetId="7">#REF!</definedName>
    <definedName name="PII">#REF!</definedName>
    <definedName name="PINTOR">#REF!</definedName>
    <definedName name="PIP" localSheetId="6">#REF!</definedName>
    <definedName name="PIP">#REF!</definedName>
    <definedName name="PIPAI">#REF!</definedName>
    <definedName name="PIPAP">#REF!</definedName>
    <definedName name="PL">#REF!</definedName>
    <definedName name="planilha">NA()</definedName>
    <definedName name="planilha_1">NA()</definedName>
    <definedName name="plc" localSheetId="6">#REF!</definedName>
    <definedName name="plc" localSheetId="7">#REF!</definedName>
    <definedName name="plc">#REF!</definedName>
    <definedName name="plc2.5" localSheetId="6">#REF!</definedName>
    <definedName name="plc2.5">#REF!</definedName>
    <definedName name="PMS" localSheetId="6">#REF!</definedName>
    <definedName name="PMS">#REF!</definedName>
    <definedName name="PMUR" localSheetId="7">[1]SERVIÇO!#REF!</definedName>
    <definedName name="PMUR">[1]SERVIÇO!#REF!</definedName>
    <definedName name="PO_QUIMICO_4KG" localSheetId="7">#REF!</definedName>
    <definedName name="PO_QUIMICO_4KG">#REF!</definedName>
    <definedName name="pont" localSheetId="6">#REF!</definedName>
    <definedName name="pont">#REF!</definedName>
    <definedName name="pontal">#REF!</definedName>
    <definedName name="PONTALETE">#REF!</definedName>
    <definedName name="por_sistema_IMR" localSheetId="6">#REF!</definedName>
    <definedName name="por_sistema_IMR">#REF!</definedName>
    <definedName name="por_sistema_IMR_1" localSheetId="6">#REF!</definedName>
    <definedName name="por_sistema_IMR_1">#REF!</definedName>
    <definedName name="por_sistema_IMR_1_4" localSheetId="6">#REF!</definedName>
    <definedName name="por_sistema_IMR_1_4">#REF!</definedName>
    <definedName name="por_sistema_IMR_4" localSheetId="6">#REF!</definedName>
    <definedName name="por_sistema_IMR_4">#REF!</definedName>
    <definedName name="por_sistema_IMR_6" localSheetId="6">#REF!</definedName>
    <definedName name="por_sistema_IMR_6">#REF!</definedName>
    <definedName name="por_sistema_IMR_6_4" localSheetId="6">#REF!</definedName>
    <definedName name="por_sistema_IMR_6_4">#REF!</definedName>
    <definedName name="port" localSheetId="6">#REF!</definedName>
    <definedName name="port" localSheetId="4">#REF!</definedName>
    <definedName name="port">#REF!</definedName>
    <definedName name="port_1" localSheetId="6">#REF!</definedName>
    <definedName name="port_1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reço_kW" localSheetId="6">#REF!</definedName>
    <definedName name="Preço_kW">#REF!</definedName>
    <definedName name="Preço_kW_1" localSheetId="6">#REF!</definedName>
    <definedName name="Preço_kW_1">#REF!</definedName>
    <definedName name="Preço_kW_1_4" localSheetId="6">#REF!</definedName>
    <definedName name="Preço_kW_1_4">#REF!</definedName>
    <definedName name="Preço_kW_4" localSheetId="6">#REF!</definedName>
    <definedName name="Preço_kW_4">#REF!</definedName>
    <definedName name="Preço_kW_6" localSheetId="6">#REF!</definedName>
    <definedName name="Preço_kW_6">#REF!</definedName>
    <definedName name="Preço_kW_6_4" localSheetId="6">#REF!</definedName>
    <definedName name="Preço_kW_6_4">#REF!</definedName>
    <definedName name="PREF" localSheetId="6">#REF!</definedName>
    <definedName name="PREF" localSheetId="4">#REF!</definedName>
    <definedName name="PREF">#REF!</definedName>
    <definedName name="PREF_1" localSheetId="6">#REF!</definedName>
    <definedName name="PREF_1">#REF!</definedName>
    <definedName name="pref_4" localSheetId="6">#REF!</definedName>
    <definedName name="pref_4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rf" localSheetId="6">#REF!</definedName>
    <definedName name="prf">#REF!</definedName>
    <definedName name="prg" localSheetId="6">#REF!</definedName>
    <definedName name="prg">#REF!</definedName>
    <definedName name="PROJ" localSheetId="6">#REF!</definedName>
    <definedName name="PROJ">#REF!</definedName>
    <definedName name="prtm" localSheetId="6">#REF!</definedName>
    <definedName name="prtm">#REF!</definedName>
    <definedName name="PTGERAL" localSheetId="7">[1]SERVIÇO!#REF!</definedName>
    <definedName name="PTGERAL">[1]SERVIÇO!#REF!</definedName>
    <definedName name="ptt3x2" localSheetId="6">#REF!</definedName>
    <definedName name="ptt3x2" localSheetId="7">#REF!</definedName>
    <definedName name="ptt3x2">#REF!</definedName>
    <definedName name="PVC" localSheetId="6">#REF!</definedName>
    <definedName name="PVC" localSheetId="7">#REF!</definedName>
    <definedName name="PVC">#REF!</definedName>
    <definedName name="qgm" localSheetId="6">#REF!</definedName>
    <definedName name="qgm">#REF!</definedName>
    <definedName name="QQ_2" localSheetId="7">'PROJETO EXECUTIVO'!QQ_2</definedName>
    <definedName name="QQ_2">QQ_2</definedName>
    <definedName name="QTNULO" localSheetId="7">[1]SERVIÇO!#REF!</definedName>
    <definedName name="QTNULO">[1]SERVIÇO!#REF!</definedName>
    <definedName name="QTPADRAO" localSheetId="7">[1]SERVIÇO!#REF!</definedName>
    <definedName name="QTPADRAO">[1]SERVIÇO!#REF!</definedName>
    <definedName name="QTRES" localSheetId="7">[1]SERVIÇO!#REF!</definedName>
    <definedName name="QTRES">[1]SERVIÇO!#REF!</definedName>
    <definedName name="QUANT" localSheetId="7">#REF!</definedName>
    <definedName name="QUANT">#REF!</definedName>
    <definedName name="QUANTP" localSheetId="7">[1]SERVIÇO!#REF!</definedName>
    <definedName name="QUANTP">[1]SERVIÇO!#REF!</definedName>
    <definedName name="RARQIMP" localSheetId="7">[1]SERVIÇO!#REF!</definedName>
    <definedName name="RARQIMP">[1]SERVIÇO!#REF!</definedName>
    <definedName name="RBV">[9]Teor!$C$3:$C$7</definedName>
    <definedName name="RCA15I" localSheetId="7">#REF!</definedName>
    <definedName name="RCA15I">#REF!</definedName>
    <definedName name="RCA15P" localSheetId="7">#REF!</definedName>
    <definedName name="RCA15P">#REF!</definedName>
    <definedName name="RCA25I" localSheetId="7">#REF!</definedName>
    <definedName name="RCA25I">#REF!</definedName>
    <definedName name="RCA25P">#REF!</definedName>
    <definedName name="rdt13.8" localSheetId="6">#REF!</definedName>
    <definedName name="rdt13.8">#REF!</definedName>
    <definedName name="rec" localSheetId="6">#REF!</definedName>
    <definedName name="rec">#REF!</definedName>
    <definedName name="RECADUC" localSheetId="7">[1]SERVIÇO!#REF!</definedName>
    <definedName name="RECADUC">[1]SERVIÇO!#REF!</definedName>
    <definedName name="Recorder" localSheetId="6">#REF!</definedName>
    <definedName name="Recorder" localSheetId="7">#REF!</definedName>
    <definedName name="Recorder">#REF!</definedName>
    <definedName name="REFERENTE">#REF!</definedName>
    <definedName name="REG">#REF!</definedName>
    <definedName name="REGUA_DUZIA">[3]Insumos!$I$61</definedName>
    <definedName name="REGULA" localSheetId="7">#REF!</definedName>
    <definedName name="REGULA">#REF!</definedName>
    <definedName name="REJUNTE" localSheetId="7">#REF!</definedName>
    <definedName name="REJUNTE">#REF!</definedName>
    <definedName name="RES" localSheetId="6">#REF!</definedName>
    <definedName name="RES">#REF!</definedName>
    <definedName name="RESUMO" localSheetId="7">'PROJETO EXECUTIVO'!RESUMO</definedName>
    <definedName name="RESUMO">RESUMO</definedName>
    <definedName name="RETROI" localSheetId="7">#REF!</definedName>
    <definedName name="RETROI">#REF!</definedName>
    <definedName name="RETROP" localSheetId="7">#REF!</definedName>
    <definedName name="RETROP">#REF!</definedName>
    <definedName name="rgG3_4" localSheetId="6">#REF!</definedName>
    <definedName name="rgG3_4" localSheetId="7">#REF!</definedName>
    <definedName name="rgG3_4">#REF!</definedName>
    <definedName name="rgp1\2">#REF!</definedName>
    <definedName name="rgp1_2" localSheetId="6">#REF!</definedName>
    <definedName name="rgp1_2">#REF!</definedName>
    <definedName name="ridbeb" localSheetId="7">[1]SERVIÇO!#REF!</definedName>
    <definedName name="ridbeb">[1]SERVIÇO!#REF!</definedName>
    <definedName name="RIDCHAF" localSheetId="7">[1]SERVIÇO!#REF!</definedName>
    <definedName name="RIDCHAF">[1]SERVIÇO!#REF!</definedName>
    <definedName name="ridres05" localSheetId="7">[1]SERVIÇO!#REF!</definedName>
    <definedName name="ridres05">[1]SERVIÇO!#REF!</definedName>
    <definedName name="RIDRES10" localSheetId="7">[1]SERVIÇO!#REF!</definedName>
    <definedName name="RIDRES10">[1]SERVIÇO!#REF!</definedName>
    <definedName name="RIDRES15">[1]SERVIÇO!#REF!</definedName>
    <definedName name="RIPAO">[3]Insumos!$I$61</definedName>
    <definedName name="RIPÃO" localSheetId="7">#REF!</definedName>
    <definedName name="RIPÃO">#REF!</definedName>
    <definedName name="RIPÃO_COMUM">[3]Insumos!$I$61</definedName>
    <definedName name="RIPÃO_MAD_LEI" localSheetId="7">#REF!</definedName>
    <definedName name="RIPÃO_MAD_LEI">#REF!</definedName>
    <definedName name="RLCG11I" localSheetId="7">#REF!</definedName>
    <definedName name="RLCG11I">#REF!</definedName>
    <definedName name="RLCG11P" localSheetId="7">#REF!</definedName>
    <definedName name="RLCG11P">#REF!</definedName>
    <definedName name="RLI" localSheetId="6">#REF!</definedName>
    <definedName name="RLI">#REF!</definedName>
    <definedName name="RLISOI">#REF!</definedName>
    <definedName name="RLISOP">#REF!</definedName>
    <definedName name="RLP" localSheetId="6">#REF!</definedName>
    <definedName name="RLP">#REF!</definedName>
    <definedName name="RMA" localSheetId="7">'[2]PRO-08'!#REF!</definedName>
    <definedName name="RMA">'[2]PRO-08'!#REF!</definedName>
    <definedName name="RODAPE_CINZA_CORUMBA" localSheetId="7">#REF!</definedName>
    <definedName name="RODAPE_CINZA_CORUMBA">#REF!</definedName>
    <definedName name="ROMANO" localSheetId="7">[1]SERVIÇO!#REF!</definedName>
    <definedName name="ROMANO">[1]SERVIÇO!#REF!</definedName>
    <definedName name="ROTCOMP" localSheetId="7">[1]SERVIÇO!#REF!</definedName>
    <definedName name="ROTCOMP">[1]SERVIÇO!#REF!</definedName>
    <definedName name="ROTIMP" localSheetId="7">[1]SERVIÇO!#REF!</definedName>
    <definedName name="ROTIMP">[1]SERVIÇO!#REF!</definedName>
    <definedName name="ROTRES" localSheetId="7">[1]SERVIÇO!#REF!</definedName>
    <definedName name="ROTRES">[1]SERVIÇO!#REF!</definedName>
    <definedName name="RPI" localSheetId="7">#REF!</definedName>
    <definedName name="RPI">#REF!</definedName>
    <definedName name="RPNEUSI" localSheetId="7">#REF!</definedName>
    <definedName name="RPNEUSI">#REF!</definedName>
    <definedName name="RPNEUSP">#REF!</definedName>
    <definedName name="RPP" localSheetId="6">#REF!</definedName>
    <definedName name="RPP">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rrrrrrrrrr">#REF!</definedName>
    <definedName name="rrrrrrrrrrrr_1" localSheetId="6">#REF!</definedName>
    <definedName name="rrrrrrrrrrrr_1" localSheetId="7">#REF!</definedName>
    <definedName name="rrrrrrrrrrrr_1">#REF!</definedName>
    <definedName name="RRTEMP" localSheetId="7">[1]SERVIÇO!#REF!</definedName>
    <definedName name="RRTEMP">[1]SERVIÇO!#REF!</definedName>
    <definedName name="RS" localSheetId="7">#REF!</definedName>
    <definedName name="RS">#REF!</definedName>
    <definedName name="RSEQ" localSheetId="7">[1]SERVIÇO!#REF!</definedName>
    <definedName name="RSEQ">[1]SERVIÇO!#REF!</definedName>
    <definedName name="RSUBTOT" localSheetId="7">[1]SERVIÇO!#REF!</definedName>
    <definedName name="RSUBTOT">[1]SERVIÇO!#REF!</definedName>
    <definedName name="rtitbeb" localSheetId="7">[1]SERVIÇO!#REF!</definedName>
    <definedName name="rtitbeb">[1]SERVIÇO!#REF!</definedName>
    <definedName name="RTITCHAF">[1]SERVIÇO!#REF!</definedName>
    <definedName name="rtubos">[1]SERVIÇO!#REF!</definedName>
    <definedName name="ruas" localSheetId="6">#REF!</definedName>
    <definedName name="ruas" localSheetId="4">#REF!</definedName>
    <definedName name="ruas">#REF!</definedName>
    <definedName name="ruas_1" localSheetId="6">#REF!</definedName>
    <definedName name="ruas_1">#REF!</definedName>
    <definedName name="s" localSheetId="6">#REF!</definedName>
    <definedName name="s" localSheetId="4">#REF!</definedName>
    <definedName name="s">#REF!</definedName>
    <definedName name="s14_" localSheetId="6">#REF!</definedName>
    <definedName name="s14_">#REF!</definedName>
    <definedName name="SAL" localSheetId="6">#REF!</definedName>
    <definedName name="SAL">#REF!</definedName>
    <definedName name="SARRAFO">#REF!</definedName>
    <definedName name="sbg">#REF!</definedName>
    <definedName name="SBTC">#REF!</definedName>
    <definedName name="sd">#REF!</definedName>
    <definedName name="se" localSheetId="6">#REF!</definedName>
    <definedName name="se" localSheetId="4">#REF!</definedName>
    <definedName name="se">#REF!</definedName>
    <definedName name="se_1" localSheetId="6">#REF!</definedName>
    <definedName name="se_1">#REF!</definedName>
    <definedName name="seat15" localSheetId="6">#REF!</definedName>
    <definedName name="seat15">#REF!</definedName>
    <definedName name="SEIXO">#REF!</definedName>
    <definedName name="SemanaTerminando" localSheetId="7">[10]materiais!#REF!</definedName>
    <definedName name="SemanaTerminando">[10]materiais!#REF!</definedName>
    <definedName name="SET">[11]Comp!$E$361:$E$428</definedName>
    <definedName name="SIFÃO_CROMADO" localSheetId="7">#REF!</definedName>
    <definedName name="SIFÃO_CROMADO">#REF!</definedName>
    <definedName name="sin" localSheetId="6">#REF!</definedName>
    <definedName name="sin" localSheetId="7">#REF!</definedName>
    <definedName name="sin">#REF!</definedName>
    <definedName name="SISTEM1" localSheetId="7">[1]SERVIÇO!#REF!</definedName>
    <definedName name="SISTEM1">[1]SERVIÇO!#REF!</definedName>
    <definedName name="SISTEM2" localSheetId="7">[1]SERVIÇO!#REF!</definedName>
    <definedName name="SISTEM2">[1]SERVIÇO!#REF!</definedName>
    <definedName name="SMIN" localSheetId="7">#REF!</definedName>
    <definedName name="SMIN">#REF!</definedName>
    <definedName name="SOLEIRA_CINZA_CORUMBA" localSheetId="7">#REF!</definedName>
    <definedName name="SOLEIRA_CINZA_CORUMBA">#REF!</definedName>
    <definedName name="sollimp" localSheetId="6">#REF!</definedName>
    <definedName name="sollimp">#REF!</definedName>
    <definedName name="SOLU_LIMPADORA">#REF!</definedName>
    <definedName name="srv" localSheetId="6">#REF!</definedName>
    <definedName name="srv">#REF!</definedName>
    <definedName name="SSS" localSheetId="7">[4]ORC!#REF!</definedName>
    <definedName name="SSS">[4]ORC!#REF!</definedName>
    <definedName name="SSTEMP" localSheetId="7">[1]SERVIÇO!#REF!</definedName>
    <definedName name="SSTEMP">[1]SERVIÇO!#REF!</definedName>
    <definedName name="SUBDER" localSheetId="7">[1]SERVIÇO!#REF!</definedName>
    <definedName name="SUBDER">[1]SERVIÇO!#REF!</definedName>
    <definedName name="SUBDIV" localSheetId="7">[1]SERVIÇO!#REF!</definedName>
    <definedName name="SUBDIV">[1]SERVIÇO!#REF!</definedName>
    <definedName name="SUBEQP">[1]SERVIÇO!#REF!</definedName>
    <definedName name="SUBMUR">[1]SERVIÇO!#REF!</definedName>
    <definedName name="sum">#REF!</definedName>
    <definedName name="svt" localSheetId="6">#REF!</definedName>
    <definedName name="svt">#REF!</definedName>
    <definedName name="sx" localSheetId="6">#REF!</definedName>
    <definedName name="sx" localSheetId="4">#REF!</definedName>
    <definedName name="sx">#REF!</definedName>
    <definedName name="sx_1" localSheetId="6">#REF!</definedName>
    <definedName name="sx_1">#REF!</definedName>
    <definedName name="sxo" localSheetId="6">#REF!</definedName>
    <definedName name="sxo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ABUA">#REF!</definedName>
    <definedName name="TABUA.METRO">#REF!</definedName>
    <definedName name="TABUA_DUZIA">[3]Insumos!$I$70</definedName>
    <definedName name="TÁBUA_MAD_FORTE" localSheetId="7">#REF!</definedName>
    <definedName name="TÁBUA_MAD_FORTE">#REF!</definedName>
    <definedName name="TARUGO" localSheetId="7">#REF!</definedName>
    <definedName name="TARUGO">#REF!</definedName>
    <definedName name="tb100cm" localSheetId="6">#REF!</definedName>
    <definedName name="tb100cm" localSheetId="4">#REF!</definedName>
    <definedName name="tb100cm">#REF!</definedName>
    <definedName name="tb100cm_1" localSheetId="6">#REF!</definedName>
    <definedName name="tb100cm_1">#REF!</definedName>
    <definedName name="tb60cm">#REF!</definedName>
    <definedName name="tb80cm">#REF!</definedName>
    <definedName name="tbv" localSheetId="6">#REF!</definedName>
    <definedName name="tbv">#REF!</definedName>
    <definedName name="ted" localSheetId="6">#REF!</definedName>
    <definedName name="ted">#REF!</definedName>
    <definedName name="telha">NA()</definedName>
    <definedName name="TELHA_FIBROCIMENTO_6MM" localSheetId="7">#REF!</definedName>
    <definedName name="TELHA_FIBROCIMENTO_6MM">#REF!</definedName>
    <definedName name="TELHA_FRIBOCIMENTO_4MM" localSheetId="7">#REF!</definedName>
    <definedName name="TELHA_FRIBOCIMENTO_4MM">#REF!</definedName>
    <definedName name="TELHA_PLAN" localSheetId="7">#REF!</definedName>
    <definedName name="TELHA_PLAN">#REF!</definedName>
    <definedName name="TELHACRYL">#REF!</definedName>
    <definedName name="Teor">[9]Teor!$A$3:$A$7</definedName>
    <definedName name="ter" localSheetId="6">#REF!</definedName>
    <definedName name="ter" localSheetId="7">#REF!</definedName>
    <definedName name="ter">#REF!</definedName>
    <definedName name="Terraplenagem" localSheetId="7">'PROJETO EXECUTIVO'!Terraplenagem</definedName>
    <definedName name="Terraplenagem">Terraplenagem</definedName>
    <definedName name="tes" localSheetId="6">#REF!</definedName>
    <definedName name="tes" localSheetId="7">#REF!</definedName>
    <definedName name="tes">#REF!</definedName>
    <definedName name="TID" localSheetId="6">#REF!</definedName>
    <definedName name="TID" localSheetId="7">#REF!</definedName>
    <definedName name="TID">#REF!</definedName>
    <definedName name="TIJOLO_10X20X20">[3]Insumos!$I$28</definedName>
    <definedName name="TIJOLO_6_FUROS">[3]Insumos!$I$28</definedName>
    <definedName name="TINTA_ACRILICA" localSheetId="7">#REF!</definedName>
    <definedName name="TINTA_ACRILICA">#REF!</definedName>
    <definedName name="TINTA_ESMALTE" localSheetId="7">#REF!</definedName>
    <definedName name="TINTA_ESMALTE">#REF!</definedName>
    <definedName name="TINTA_NOVACOR" localSheetId="7">#REF!</definedName>
    <definedName name="TINTA_NOVACOR">#REF!</definedName>
    <definedName name="TINTA_OLEO">[3]Insumos!$I$366</definedName>
    <definedName name="TINTA_PVA">[3]Insumos!$I$365</definedName>
    <definedName name="titbeb" localSheetId="7">[1]SERVIÇO!#REF!</definedName>
    <definedName name="titbeb">[1]SERVIÇO!#REF!</definedName>
    <definedName name="TITCHAF" localSheetId="7">[1]SERVIÇO!#REF!</definedName>
    <definedName name="TITCHAF">[1]SERVIÇO!#REF!</definedName>
    <definedName name="_xlnm.Print_Titles" localSheetId="3">Cronograma!$1:$3</definedName>
    <definedName name="_xlnm.Print_Titles" localSheetId="8">'Preços Insumos e Serviços'!$1:$1</definedName>
    <definedName name="tjc" localSheetId="6">#REF!</definedName>
    <definedName name="tjc" localSheetId="7">#REF!</definedName>
    <definedName name="tjc">#REF!</definedName>
    <definedName name="tjf" localSheetId="6">#REF!</definedName>
    <definedName name="tjf">#REF!</definedName>
    <definedName name="tlc" localSheetId="6">#REF!</definedName>
    <definedName name="tlc">#REF!</definedName>
    <definedName name="tlf" localSheetId="6">#REF!</definedName>
    <definedName name="tlf">#REF!</definedName>
    <definedName name="tnp1\2">#REF!</definedName>
    <definedName name="tnp1_2" localSheetId="6">#REF!</definedName>
    <definedName name="tnp1_2">#REF!</definedName>
    <definedName name="to">#REF!</definedName>
    <definedName name="tof" localSheetId="6">#REF!</definedName>
    <definedName name="tof">#REF!</definedName>
    <definedName name="top">#REF!</definedName>
    <definedName name="TOT" localSheetId="6">#REF!</definedName>
    <definedName name="TOT">#REF!</definedName>
    <definedName name="TOT.P">#REF!</definedName>
    <definedName name="TOT1.P">#REF!</definedName>
    <definedName name="total" localSheetId="6">#REF!</definedName>
    <definedName name="total" localSheetId="4">#REF!</definedName>
    <definedName name="total">#REF!</definedName>
    <definedName name="total_1" localSheetId="6">#REF!</definedName>
    <definedName name="total_1">#REF!</definedName>
    <definedName name="TOTAL_ADMINISTRATIVO">#REF!</definedName>
    <definedName name="TOTAL_AULA">#REF!</definedName>
    <definedName name="TOTAL_EXTERNA">#REF!</definedName>
    <definedName name="TOTAL_QUADRA">#REF!</definedName>
    <definedName name="TOTAL_RESUMO">NA()</definedName>
    <definedName name="TOTAL_VESTIÁRIO">#REF!</definedName>
    <definedName name="TOTQTS" localSheetId="7">[1]SERVIÇO!#REF!</definedName>
    <definedName name="TOTQTS">[1]SERVIÇO!#REF!</definedName>
    <definedName name="tp6_12" localSheetId="6">#REF!</definedName>
    <definedName name="tp6_12" localSheetId="7">#REF!</definedName>
    <definedName name="tp6_12">#REF!</definedName>
    <definedName name="tp6_16" localSheetId="6">#REF!</definedName>
    <definedName name="tp6_16">#REF!</definedName>
    <definedName name="TPI" localSheetId="6">#REF!</definedName>
    <definedName name="TPI">#REF!</definedName>
    <definedName name="tpl1\2">#REF!</definedName>
    <definedName name="tpl1_2" localSheetId="6">#REF!</definedName>
    <definedName name="tpl1_2">#REF!</definedName>
    <definedName name="TPM">#REF!</definedName>
    <definedName name="tpmfs" localSheetId="6">#REF!</definedName>
    <definedName name="tpmfs">#REF!</definedName>
    <definedName name="TPP" localSheetId="6">#REF!</definedName>
    <definedName name="TPP">#REF!</definedName>
    <definedName name="trb" localSheetId="6">#REF!</definedName>
    <definedName name="trb">#REF!</definedName>
    <definedName name="tre" localSheetId="6">#REF!</definedName>
    <definedName name="tre">#REF!</definedName>
    <definedName name="TRTD6I">#REF!</definedName>
    <definedName name="TRTD6P">#REF!</definedName>
    <definedName name="TRTD8I">#REF!</definedName>
    <definedName name="TRTD8P">#REF!</definedName>
    <definedName name="TRTPI">#REF!</definedName>
    <definedName name="TRTPP">#REF!</definedName>
    <definedName name="TT">NA()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 localSheetId="6">#REF!</definedName>
    <definedName name="ttc" localSheetId="7">#REF!</definedName>
    <definedName name="ttc">#REF!</definedName>
    <definedName name="tte" localSheetId="6">#REF!</definedName>
    <definedName name="tte">#REF!</definedName>
    <definedName name="TTT" localSheetId="7">[1]SERVIÇO!#REF!</definedName>
    <definedName name="TTT">[1]SERVIÇO!#REF!</definedName>
    <definedName name="Tuboscon" localSheetId="7">#REF!</definedName>
    <definedName name="Tuboscon">#REF!</definedName>
    <definedName name="tus" localSheetId="6">#REF!</definedName>
    <definedName name="tus" localSheetId="7">#REF!</definedName>
    <definedName name="tus">#REF!</definedName>
    <definedName name="tuso" localSheetId="6">#REF!</definedName>
    <definedName name="tuso">#REF!</definedName>
    <definedName name="TXTEQUIP" localSheetId="7">[1]SERVIÇO!#REF!</definedName>
    <definedName name="TXTEQUIP">[1]SERVIÇO!#REF!</definedName>
    <definedName name="TXTMARCA" localSheetId="7">[1]SERVIÇO!#REF!</definedName>
    <definedName name="TXTMARCA">[1]SERVIÇO!#REF!</definedName>
    <definedName name="TXTMOD" localSheetId="7">[1]SERVIÇO!#REF!</definedName>
    <definedName name="TXTMOD">[1]SERVIÇO!#REF!</definedName>
    <definedName name="TXTPOT" localSheetId="7">[1]SERVIÇO!#REF!</definedName>
    <definedName name="TXTPOT">[1]SERVIÇO!#REF!</definedName>
    <definedName name="USS" localSheetId="7">#REF!</definedName>
    <definedName name="USS">#REF!</definedName>
    <definedName name="V" localSheetId="7">#REF!</definedName>
    <definedName name="V">#REF!</definedName>
    <definedName name="v60120_" localSheetId="6">#REF!</definedName>
    <definedName name="v60120_" localSheetId="7">#REF!</definedName>
    <definedName name="v60120_">#REF!</definedName>
    <definedName name="value_def_array" localSheetId="7">{"total","SUM(total)","YNNNN",FALSE}</definedName>
    <definedName name="value_def_array">{"total","SUM(total)","YNNNN",FALSE}</definedName>
    <definedName name="Vaz_Tot" localSheetId="6">#REF!</definedName>
    <definedName name="Vaz_Tot" localSheetId="7">#REF!</definedName>
    <definedName name="Vaz_Tot">#REF!</definedName>
    <definedName name="Vaz_Tot_1" localSheetId="6">#REF!</definedName>
    <definedName name="Vaz_Tot_1" localSheetId="7">#REF!</definedName>
    <definedName name="Vaz_Tot_1">#REF!</definedName>
    <definedName name="Vaz_Tot_1_4" localSheetId="6">#REF!</definedName>
    <definedName name="Vaz_Tot_1_4" localSheetId="7">#REF!</definedName>
    <definedName name="Vaz_Tot_1_4">#REF!</definedName>
    <definedName name="Vaz_Tot_4" localSheetId="6">#REF!</definedName>
    <definedName name="Vaz_Tot_4">#REF!</definedName>
    <definedName name="Vaz_Tot_6" localSheetId="6">#REF!</definedName>
    <definedName name="Vaz_Tot_6">#REF!</definedName>
    <definedName name="Vaz_Tot_6_4" localSheetId="6">#REF!</definedName>
    <definedName name="Vaz_Tot_6_4">#REF!</definedName>
    <definedName name="Vazios">[9]Teor!$B$3:$B$7</definedName>
    <definedName name="VazMed_ha" localSheetId="6">#REF!</definedName>
    <definedName name="VazMed_ha" localSheetId="7">#REF!</definedName>
    <definedName name="VazMed_ha">#REF!</definedName>
    <definedName name="VazMed_ha_1" localSheetId="6">#REF!</definedName>
    <definedName name="VazMed_ha_1" localSheetId="7">#REF!</definedName>
    <definedName name="VazMed_ha_1">#REF!</definedName>
    <definedName name="VazMed_ha_1_4" localSheetId="6">#REF!</definedName>
    <definedName name="VazMed_ha_1_4" localSheetId="7">#REF!</definedName>
    <definedName name="VazMed_ha_1_4">#REF!</definedName>
    <definedName name="VazMed_ha_4" localSheetId="6">#REF!</definedName>
    <definedName name="VazMed_ha_4">#REF!</definedName>
    <definedName name="VazMed_ha_6" localSheetId="6">#REF!</definedName>
    <definedName name="VazMed_ha_6">#REF!</definedName>
    <definedName name="VazMed_ha_6_4" localSheetId="6">#REF!</definedName>
    <definedName name="VazMed_ha_6_4">#REF!</definedName>
    <definedName name="vbn">#REF!</definedName>
    <definedName name="vcx">#REF!</definedName>
    <definedName name="VEDA_ROSCA">#REF!</definedName>
    <definedName name="verde">#REF!</definedName>
    <definedName name="verdepav">#REF!</definedName>
    <definedName name="VERNIZ_POLIURETANO">#REF!</definedName>
    <definedName name="VII" localSheetId="6">#REF!</definedName>
    <definedName name="VII">#REF!</definedName>
    <definedName name="VIP" localSheetId="6">#REF!</definedName>
    <definedName name="VIP">#REF!</definedName>
    <definedName name="VLR" localSheetId="6">#REF!</definedName>
    <definedName name="VLR">#REF!</definedName>
    <definedName name="Vol_distrib" localSheetId="6">#REF!</definedName>
    <definedName name="Vol_distrib">#REF!</definedName>
    <definedName name="Vol_distrib_1" localSheetId="6">#REF!</definedName>
    <definedName name="Vol_distrib_1">#REF!</definedName>
    <definedName name="Vol_distrib_1_4" localSheetId="6">#REF!</definedName>
    <definedName name="Vol_distrib_1_4">#REF!</definedName>
    <definedName name="Vol_distrib_4" localSheetId="6">#REF!</definedName>
    <definedName name="Vol_distrib_4">#REF!</definedName>
    <definedName name="Vol_distrib_6" localSheetId="6">#REF!</definedName>
    <definedName name="Vol_distrib_6">#REF!</definedName>
    <definedName name="Vol_distrib_6_4" localSheetId="6">#REF!</definedName>
    <definedName name="Vol_distrib_6_4">#REF!</definedName>
    <definedName name="vsb" localSheetId="6">#REF!</definedName>
    <definedName name="vsb">#REF!</definedName>
    <definedName name="VTE" localSheetId="6">#REF!</definedName>
    <definedName name="VTE">#REF!</definedName>
    <definedName name="vzx">#REF!</definedName>
    <definedName name="w">NA()</definedName>
    <definedName name="WEWRWR" localSheetId="7">'PROJETO EXECUTIVO'!WEWRWR</definedName>
    <definedName name="WEWRWR">WEWRWR</definedName>
    <definedName name="WITENS" localSheetId="7">[1]SERVIÇO!#REF!</definedName>
    <definedName name="WITENS">[1]SERVIÇO!#REF!</definedName>
    <definedName name="WNMLOCAL" localSheetId="7">[1]SERVIÇO!#REF!</definedName>
    <definedName name="WNMLOCAL">[1]SERVIÇO!#REF!</definedName>
    <definedName name="WNMMUN" localSheetId="7">[1]SERVIÇO!#REF!</definedName>
    <definedName name="WNMMUN">[1]SERVIÇO!#REF!</definedName>
    <definedName name="WNMSERV">[1]SERVIÇO!#REF!</definedName>
    <definedName name="X">#REF!</definedName>
    <definedName name="XALFA">[1]SERVIÇO!#REF!</definedName>
    <definedName name="XC">#REF!</definedName>
    <definedName name="XCVZ">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 localSheetId="7">#REF!</definedName>
    <definedName name="XXX">#REF!</definedName>
    <definedName name="XXXX" localSheetId="7">#REF!</definedName>
    <definedName name="XXXX">#REF!</definedName>
    <definedName name="xxxxx" localSheetId="6">#REF!</definedName>
    <definedName name="xxxxx">#REF!</definedName>
    <definedName name="xxxxxxxxxxxxxx" localSheetId="6">#REF!</definedName>
    <definedName name="xxxxxxxxxxxxxx">#REF!</definedName>
    <definedName name="zar" localSheetId="6">#REF!</definedName>
    <definedName name="zar">#REF!</definedName>
    <definedName name="ZARCAO">#REF!</definedName>
    <definedName name="ZECA" localSheetId="7">[1]SERVIÇO!#REF!</definedName>
    <definedName name="ZECA">[1]SERVIÇO!#REF!</definedName>
    <definedName name="zx" localSheetId="7">#REF!</definedName>
    <definedName name="z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13" l="1"/>
  <c r="R11" i="113"/>
  <c r="R10" i="113"/>
  <c r="N12" i="113"/>
  <c r="N13" i="113"/>
  <c r="N14" i="113"/>
  <c r="N15" i="113"/>
  <c r="N16" i="113"/>
  <c r="N17" i="113"/>
  <c r="N18" i="113"/>
  <c r="N21" i="113"/>
  <c r="N22" i="113"/>
  <c r="N23" i="113"/>
  <c r="N24" i="113"/>
  <c r="N25" i="113"/>
  <c r="N26" i="113"/>
  <c r="N27" i="113"/>
  <c r="N30" i="113"/>
  <c r="N31" i="113"/>
  <c r="N32" i="113"/>
  <c r="N33" i="113"/>
  <c r="N34" i="113"/>
  <c r="N35" i="113"/>
  <c r="N36" i="113"/>
  <c r="N37" i="113"/>
  <c r="N38" i="113"/>
  <c r="N41" i="113"/>
  <c r="N42" i="113"/>
  <c r="N43" i="113"/>
  <c r="N44" i="113"/>
  <c r="N47" i="113"/>
  <c r="N11" i="113"/>
  <c r="E46" i="105"/>
  <c r="D46" i="105"/>
  <c r="E45" i="105"/>
  <c r="D45" i="105"/>
  <c r="E41" i="105"/>
  <c r="D41" i="105"/>
  <c r="E34" i="105"/>
  <c r="D34" i="105"/>
  <c r="E22" i="105"/>
  <c r="D22" i="105"/>
  <c r="D36" i="104"/>
  <c r="D29" i="104"/>
  <c r="I27" i="104"/>
  <c r="D26" i="104"/>
  <c r="D21" i="104"/>
  <c r="D17" i="104"/>
  <c r="D16" i="104"/>
  <c r="D15" i="104"/>
  <c r="D14" i="104"/>
  <c r="D13" i="104"/>
  <c r="G35" i="97"/>
  <c r="B35" i="97"/>
  <c r="G33" i="97"/>
  <c r="B33" i="97"/>
  <c r="I31" i="97"/>
  <c r="G32" i="112"/>
  <c r="G30" i="112"/>
  <c r="G29" i="112"/>
  <c r="G28" i="112"/>
  <c r="D28" i="112"/>
  <c r="G27" i="112"/>
  <c r="G26" i="112"/>
  <c r="F26" i="112"/>
  <c r="G25" i="112"/>
  <c r="F25" i="112"/>
  <c r="G23" i="112"/>
  <c r="F23" i="112"/>
  <c r="G22" i="112"/>
  <c r="F22" i="112"/>
  <c r="G21" i="112"/>
  <c r="G20" i="112"/>
  <c r="G19" i="112"/>
  <c r="G18" i="112"/>
  <c r="F18" i="112"/>
  <c r="E18" i="112"/>
  <c r="C18" i="112"/>
  <c r="B18" i="112"/>
  <c r="G17" i="112"/>
  <c r="F17" i="112"/>
  <c r="E17" i="112"/>
  <c r="C17" i="112"/>
  <c r="B17" i="112"/>
  <c r="G16" i="112"/>
  <c r="F16" i="112"/>
  <c r="E16" i="112"/>
  <c r="C16" i="112"/>
  <c r="B16" i="112"/>
  <c r="G15" i="112"/>
  <c r="F15" i="112"/>
  <c r="G14" i="112"/>
  <c r="B13" i="112"/>
  <c r="G12" i="112"/>
  <c r="G11" i="112"/>
  <c r="F11" i="112"/>
  <c r="E11" i="112"/>
  <c r="C11" i="112"/>
  <c r="B11" i="112"/>
  <c r="G10" i="112"/>
  <c r="F10" i="112"/>
  <c r="E10" i="112"/>
  <c r="C10" i="112"/>
  <c r="B10" i="112"/>
  <c r="G9" i="112"/>
  <c r="G8" i="112"/>
  <c r="F8" i="112"/>
  <c r="E8" i="112"/>
  <c r="C8" i="112"/>
  <c r="B8" i="112"/>
  <c r="G7" i="112"/>
  <c r="F7" i="112"/>
  <c r="E7" i="112"/>
  <c r="C7" i="112"/>
  <c r="B7" i="112"/>
  <c r="G6" i="112"/>
  <c r="G5" i="112"/>
  <c r="I413" i="111"/>
  <c r="A411" i="111"/>
  <c r="A410" i="111"/>
  <c r="I407" i="111"/>
  <c r="I406" i="111"/>
  <c r="G406" i="111"/>
  <c r="C406" i="111"/>
  <c r="B406" i="111"/>
  <c r="A406" i="111"/>
  <c r="I405" i="111"/>
  <c r="G405" i="111"/>
  <c r="C405" i="111"/>
  <c r="B405" i="111"/>
  <c r="A405" i="111"/>
  <c r="I403" i="111"/>
  <c r="I402" i="111"/>
  <c r="I401" i="111"/>
  <c r="F401" i="111"/>
  <c r="B401" i="111"/>
  <c r="A401" i="111"/>
  <c r="I400" i="111"/>
  <c r="F400" i="111"/>
  <c r="B400" i="111"/>
  <c r="A400" i="111"/>
  <c r="I398" i="111"/>
  <c r="I397" i="111"/>
  <c r="F397" i="111"/>
  <c r="B397" i="111"/>
  <c r="A397" i="111"/>
  <c r="I396" i="111"/>
  <c r="F396" i="111"/>
  <c r="B396" i="111"/>
  <c r="A396" i="111"/>
  <c r="I392" i="111"/>
  <c r="I391" i="111"/>
  <c r="I390" i="111"/>
  <c r="I389" i="111"/>
  <c r="F389" i="111"/>
  <c r="B389" i="111"/>
  <c r="A389" i="111"/>
  <c r="I388" i="111"/>
  <c r="F388" i="111"/>
  <c r="B388" i="111"/>
  <c r="A388" i="111"/>
  <c r="I386" i="111"/>
  <c r="I385" i="111"/>
  <c r="G385" i="111"/>
  <c r="F385" i="111"/>
  <c r="B385" i="111"/>
  <c r="A385" i="111"/>
  <c r="I377" i="111"/>
  <c r="I371" i="111"/>
  <c r="I370" i="111"/>
  <c r="I369" i="111"/>
  <c r="F369" i="111"/>
  <c r="B369" i="111"/>
  <c r="A369" i="111"/>
  <c r="I363" i="111"/>
  <c r="I362" i="111"/>
  <c r="I361" i="111"/>
  <c r="I360" i="111"/>
  <c r="F360" i="111"/>
  <c r="B360" i="111"/>
  <c r="A360" i="111"/>
  <c r="I359" i="111"/>
  <c r="F359" i="111"/>
  <c r="B359" i="111"/>
  <c r="A359" i="111"/>
  <c r="I357" i="111"/>
  <c r="I356" i="111"/>
  <c r="G356" i="111"/>
  <c r="F356" i="111"/>
  <c r="B356" i="111"/>
  <c r="A356" i="111"/>
  <c r="I348" i="111"/>
  <c r="I342" i="111"/>
  <c r="I336" i="111"/>
  <c r="I335" i="111"/>
  <c r="I334" i="111"/>
  <c r="I333" i="111"/>
  <c r="I332" i="111"/>
  <c r="F332" i="111"/>
  <c r="B332" i="111"/>
  <c r="A332" i="111"/>
  <c r="I330" i="111"/>
  <c r="I329" i="111"/>
  <c r="G329" i="111"/>
  <c r="F329" i="111"/>
  <c r="B329" i="111"/>
  <c r="A329" i="111"/>
  <c r="I328" i="111"/>
  <c r="G328" i="111"/>
  <c r="F328" i="111"/>
  <c r="B328" i="111"/>
  <c r="A328" i="111"/>
  <c r="I327" i="111"/>
  <c r="G327" i="111"/>
  <c r="F327" i="111"/>
  <c r="B327" i="111"/>
  <c r="A327" i="111"/>
  <c r="I326" i="111"/>
  <c r="G326" i="111"/>
  <c r="F326" i="111"/>
  <c r="B326" i="111"/>
  <c r="A326" i="111"/>
  <c r="I325" i="111"/>
  <c r="G325" i="111"/>
  <c r="F325" i="111"/>
  <c r="B325" i="111"/>
  <c r="A325" i="111"/>
  <c r="I324" i="111"/>
  <c r="G324" i="111"/>
  <c r="F324" i="111"/>
  <c r="B324" i="111"/>
  <c r="A324" i="111"/>
  <c r="I316" i="111"/>
  <c r="I310" i="111"/>
  <c r="I304" i="111"/>
  <c r="I303" i="111"/>
  <c r="I302" i="111"/>
  <c r="I299" i="111"/>
  <c r="I298" i="111"/>
  <c r="G298" i="111"/>
  <c r="F298" i="111"/>
  <c r="B298" i="111"/>
  <c r="A298" i="111"/>
  <c r="I290" i="111"/>
  <c r="I284" i="111"/>
  <c r="I278" i="111"/>
  <c r="I277" i="111"/>
  <c r="I276" i="111"/>
  <c r="I273" i="111"/>
  <c r="I272" i="111"/>
  <c r="G272" i="111"/>
  <c r="F272" i="111"/>
  <c r="B272" i="111"/>
  <c r="A272" i="111"/>
  <c r="I264" i="111"/>
  <c r="I258" i="111"/>
  <c r="I252" i="111"/>
  <c r="I251" i="111"/>
  <c r="I250" i="111"/>
  <c r="I247" i="111"/>
  <c r="I246" i="111"/>
  <c r="G246" i="111"/>
  <c r="F246" i="111"/>
  <c r="B246" i="111"/>
  <c r="A246" i="111"/>
  <c r="I238" i="111"/>
  <c r="I232" i="111"/>
  <c r="I226" i="111"/>
  <c r="I225" i="111"/>
  <c r="I224" i="111"/>
  <c r="I223" i="111"/>
  <c r="I222" i="111"/>
  <c r="F222" i="111"/>
  <c r="B222" i="111"/>
  <c r="A222" i="111"/>
  <c r="I220" i="111"/>
  <c r="I219" i="111"/>
  <c r="G219" i="111"/>
  <c r="F219" i="111"/>
  <c r="B219" i="111"/>
  <c r="A219" i="111"/>
  <c r="I211" i="111"/>
  <c r="I205" i="111"/>
  <c r="I199" i="111"/>
  <c r="I198" i="111"/>
  <c r="I197" i="111"/>
  <c r="I196" i="111"/>
  <c r="I195" i="111"/>
  <c r="F195" i="111"/>
  <c r="B195" i="111"/>
  <c r="A195" i="111"/>
  <c r="I193" i="111"/>
  <c r="I192" i="111"/>
  <c r="G192" i="111"/>
  <c r="F192" i="111"/>
  <c r="B192" i="111"/>
  <c r="A192" i="111"/>
  <c r="I184" i="111"/>
  <c r="I179" i="111"/>
  <c r="I178" i="111"/>
  <c r="G178" i="111"/>
  <c r="B178" i="111"/>
  <c r="A178" i="111"/>
  <c r="I176" i="111"/>
  <c r="I175" i="111"/>
  <c r="I174" i="111"/>
  <c r="F174" i="111"/>
  <c r="B174" i="111"/>
  <c r="A174" i="111"/>
  <c r="I169" i="111"/>
  <c r="I168" i="111"/>
  <c r="I167" i="111"/>
  <c r="I166" i="111"/>
  <c r="I165" i="111"/>
  <c r="F165" i="111"/>
  <c r="B165" i="111"/>
  <c r="A165" i="111"/>
  <c r="I163" i="111"/>
  <c r="I162" i="111"/>
  <c r="G162" i="111"/>
  <c r="F162" i="111"/>
  <c r="B162" i="111"/>
  <c r="A162" i="111"/>
  <c r="I161" i="111"/>
  <c r="G161" i="111"/>
  <c r="F161" i="111"/>
  <c r="B161" i="111"/>
  <c r="A161" i="111"/>
  <c r="I160" i="111"/>
  <c r="G160" i="111"/>
  <c r="F160" i="111"/>
  <c r="B160" i="111"/>
  <c r="A160" i="111"/>
  <c r="I159" i="111"/>
  <c r="G159" i="111"/>
  <c r="F159" i="111"/>
  <c r="B159" i="111"/>
  <c r="A159" i="111"/>
  <c r="I158" i="111"/>
  <c r="G158" i="111"/>
  <c r="F158" i="111"/>
  <c r="B158" i="111"/>
  <c r="A158" i="111"/>
  <c r="I157" i="111"/>
  <c r="G157" i="111"/>
  <c r="F157" i="111"/>
  <c r="B157" i="111"/>
  <c r="A157" i="111"/>
  <c r="I149" i="111"/>
  <c r="I143" i="111"/>
  <c r="I137" i="111"/>
  <c r="I136" i="111"/>
  <c r="I135" i="111"/>
  <c r="I134" i="111"/>
  <c r="I133" i="111"/>
  <c r="F133" i="111"/>
  <c r="B133" i="111"/>
  <c r="A133" i="111"/>
  <c r="I131" i="111"/>
  <c r="I130" i="111"/>
  <c r="G130" i="111"/>
  <c r="F130" i="111"/>
  <c r="B130" i="111"/>
  <c r="A130" i="111"/>
  <c r="I122" i="111"/>
  <c r="I116" i="111"/>
  <c r="I108" i="111"/>
  <c r="I107" i="111"/>
  <c r="I106" i="111"/>
  <c r="F106" i="111"/>
  <c r="B106" i="111"/>
  <c r="A106" i="111"/>
  <c r="I104" i="111"/>
  <c r="I103" i="111"/>
  <c r="G103" i="111"/>
  <c r="F103" i="111"/>
  <c r="B103" i="111"/>
  <c r="A103" i="111"/>
  <c r="I94" i="111"/>
  <c r="I88" i="111"/>
  <c r="I82" i="111"/>
  <c r="I81" i="111"/>
  <c r="I80" i="111"/>
  <c r="I79" i="111"/>
  <c r="I78" i="111"/>
  <c r="F78" i="111"/>
  <c r="B78" i="111"/>
  <c r="A78" i="111"/>
  <c r="I76" i="111"/>
  <c r="I75" i="111"/>
  <c r="G75" i="111"/>
  <c r="F75" i="111"/>
  <c r="B75" i="111"/>
  <c r="A75" i="111"/>
  <c r="H71" i="111"/>
  <c r="I67" i="111"/>
  <c r="I60" i="111"/>
  <c r="I59" i="111"/>
  <c r="I58" i="111"/>
  <c r="F58" i="111"/>
  <c r="B58" i="111"/>
  <c r="A58" i="111"/>
  <c r="I56" i="111"/>
  <c r="I55" i="111"/>
  <c r="F55" i="111"/>
  <c r="B55" i="111"/>
  <c r="A55" i="111"/>
  <c r="I51" i="111"/>
  <c r="I50" i="111"/>
  <c r="I49" i="111"/>
  <c r="I48" i="111"/>
  <c r="F48" i="111"/>
  <c r="B48" i="111"/>
  <c r="A48" i="111"/>
  <c r="I47" i="111"/>
  <c r="F47" i="111"/>
  <c r="B47" i="111"/>
  <c r="A47" i="111"/>
  <c r="I45" i="111"/>
  <c r="I44" i="111"/>
  <c r="G44" i="111"/>
  <c r="F44" i="111"/>
  <c r="B44" i="111"/>
  <c r="A44" i="111"/>
  <c r="I36" i="111"/>
  <c r="B34" i="111"/>
  <c r="I30" i="111"/>
  <c r="C30" i="111"/>
  <c r="B30" i="111"/>
  <c r="A30" i="111"/>
  <c r="I28" i="111"/>
  <c r="I27" i="111"/>
  <c r="I26" i="111"/>
  <c r="F26" i="111"/>
  <c r="B26" i="111"/>
  <c r="A26" i="111"/>
  <c r="I24" i="111"/>
  <c r="I23" i="111"/>
  <c r="F23" i="111"/>
  <c r="B23" i="111"/>
  <c r="A23" i="111"/>
  <c r="I19" i="111"/>
  <c r="I18" i="111"/>
  <c r="I17" i="111"/>
  <c r="I16" i="111"/>
  <c r="F16" i="111"/>
  <c r="B16" i="111"/>
  <c r="A16" i="111"/>
  <c r="I15" i="111"/>
  <c r="F15" i="111"/>
  <c r="B15" i="111"/>
  <c r="A15" i="111"/>
  <c r="G14" i="110"/>
  <c r="G13" i="110"/>
  <c r="F13" i="110"/>
  <c r="C13" i="110"/>
  <c r="B13" i="110"/>
  <c r="G12" i="110"/>
  <c r="F12" i="110"/>
  <c r="C12" i="110"/>
  <c r="B12" i="110"/>
  <c r="G11" i="110"/>
  <c r="F11" i="110"/>
  <c r="C11" i="110"/>
  <c r="B11" i="110"/>
  <c r="G10" i="110"/>
  <c r="F10" i="110"/>
  <c r="C10" i="110"/>
  <c r="B10" i="110"/>
  <c r="G9" i="110"/>
  <c r="F9" i="110"/>
  <c r="C9" i="110"/>
  <c r="B9" i="110"/>
  <c r="I40" i="100"/>
  <c r="I39" i="100"/>
  <c r="H39" i="100"/>
  <c r="F39" i="100"/>
  <c r="E39" i="100"/>
  <c r="D39" i="100"/>
  <c r="I38" i="100"/>
  <c r="H38" i="100"/>
  <c r="F38" i="100"/>
  <c r="E38" i="100"/>
  <c r="D38" i="100"/>
  <c r="I37" i="100"/>
  <c r="H37" i="100"/>
  <c r="F37" i="100"/>
  <c r="E37" i="100"/>
  <c r="D37" i="100"/>
  <c r="I36" i="100"/>
  <c r="H36" i="100"/>
  <c r="F36" i="100"/>
  <c r="E36" i="100"/>
  <c r="D36" i="100"/>
  <c r="I32" i="100"/>
  <c r="I31" i="100"/>
  <c r="H31" i="100"/>
  <c r="G31" i="100"/>
  <c r="F31" i="100"/>
  <c r="E31" i="100"/>
  <c r="D31" i="100"/>
  <c r="I30" i="100"/>
  <c r="H30" i="100"/>
  <c r="G30" i="100"/>
  <c r="F30" i="100"/>
  <c r="E30" i="100"/>
  <c r="D30" i="100"/>
  <c r="I28" i="100"/>
  <c r="I27" i="100"/>
  <c r="H27" i="100"/>
  <c r="F27" i="100"/>
  <c r="E27" i="100"/>
  <c r="D27" i="100"/>
  <c r="I26" i="100"/>
  <c r="H26" i="100"/>
  <c r="F26" i="100"/>
  <c r="E26" i="100"/>
  <c r="D26" i="100"/>
  <c r="I25" i="100"/>
  <c r="H25" i="100"/>
  <c r="F25" i="100"/>
  <c r="E25" i="100"/>
  <c r="D25" i="100"/>
  <c r="I24" i="100"/>
  <c r="H24" i="100"/>
  <c r="F24" i="100"/>
  <c r="E24" i="100"/>
  <c r="D24" i="100"/>
  <c r="I23" i="100"/>
  <c r="H23" i="100"/>
  <c r="F23" i="100"/>
  <c r="E23" i="100"/>
  <c r="D23" i="100"/>
  <c r="I22" i="100"/>
  <c r="H22" i="100"/>
  <c r="F22" i="100"/>
  <c r="E22" i="100"/>
  <c r="D22" i="100"/>
  <c r="I21" i="100"/>
  <c r="H21" i="100"/>
  <c r="F21" i="100"/>
  <c r="E21" i="100"/>
  <c r="D21" i="100"/>
  <c r="I20" i="100"/>
  <c r="H20" i="100"/>
  <c r="F20" i="100"/>
  <c r="E20" i="100"/>
  <c r="D20" i="100"/>
  <c r="I19" i="100"/>
  <c r="H19" i="100"/>
  <c r="F19" i="100"/>
  <c r="E19" i="100"/>
  <c r="D19" i="100"/>
  <c r="I18" i="100"/>
  <c r="H18" i="100"/>
  <c r="F18" i="100"/>
  <c r="E18" i="100"/>
  <c r="D18" i="100"/>
  <c r="I16" i="100"/>
  <c r="I15" i="100"/>
  <c r="H15" i="100"/>
  <c r="F15" i="100"/>
  <c r="E15" i="100"/>
  <c r="D15" i="100"/>
  <c r="I14" i="100"/>
  <c r="H14" i="100"/>
  <c r="F14" i="100"/>
  <c r="E14" i="100"/>
  <c r="D14" i="100"/>
  <c r="C50" i="114"/>
  <c r="C22" i="114"/>
  <c r="C20" i="114"/>
  <c r="C18" i="114"/>
  <c r="C16" i="114"/>
  <c r="C14" i="114"/>
  <c r="C12" i="114"/>
  <c r="C10" i="114"/>
  <c r="C8" i="114"/>
  <c r="J52" i="108"/>
  <c r="J51" i="108"/>
  <c r="K49" i="108"/>
  <c r="J49" i="108"/>
  <c r="K48" i="108"/>
  <c r="J48" i="108"/>
  <c r="K47" i="108"/>
  <c r="J47" i="108"/>
  <c r="I47" i="108"/>
  <c r="H47" i="108"/>
  <c r="G47" i="108"/>
  <c r="C47" i="108"/>
  <c r="K45" i="108"/>
  <c r="J45" i="108"/>
  <c r="K44" i="108"/>
  <c r="J44" i="108"/>
  <c r="I44" i="108"/>
  <c r="H44" i="108"/>
  <c r="K43" i="108"/>
  <c r="J43" i="108"/>
  <c r="I43" i="108"/>
  <c r="H43" i="108"/>
  <c r="K42" i="108"/>
  <c r="J42" i="108"/>
  <c r="I42" i="108"/>
  <c r="H42" i="108"/>
  <c r="G42" i="108"/>
  <c r="K41" i="108"/>
  <c r="J41" i="108"/>
  <c r="I41" i="108"/>
  <c r="H41" i="108"/>
  <c r="G41" i="108"/>
  <c r="K39" i="108"/>
  <c r="J39" i="108"/>
  <c r="K38" i="108"/>
  <c r="J38" i="108"/>
  <c r="I38" i="108"/>
  <c r="H38" i="108"/>
  <c r="G38" i="108"/>
  <c r="K37" i="108"/>
  <c r="J37" i="108"/>
  <c r="I37" i="108"/>
  <c r="H37" i="108"/>
  <c r="G37" i="108"/>
  <c r="K36" i="108"/>
  <c r="J36" i="108"/>
  <c r="I36" i="108"/>
  <c r="H36" i="108"/>
  <c r="G36" i="108"/>
  <c r="K35" i="108"/>
  <c r="J35" i="108"/>
  <c r="I35" i="108"/>
  <c r="H35" i="108"/>
  <c r="G35" i="108"/>
  <c r="K34" i="108"/>
  <c r="J34" i="108"/>
  <c r="I34" i="108"/>
  <c r="H34" i="108"/>
  <c r="G34" i="108"/>
  <c r="K33" i="108"/>
  <c r="J33" i="108"/>
  <c r="I33" i="108"/>
  <c r="H33" i="108"/>
  <c r="G33" i="108"/>
  <c r="K32" i="108"/>
  <c r="J32" i="108"/>
  <c r="I32" i="108"/>
  <c r="H32" i="108"/>
  <c r="G32" i="108"/>
  <c r="K31" i="108"/>
  <c r="J31" i="108"/>
  <c r="I31" i="108"/>
  <c r="H31" i="108"/>
  <c r="G31" i="108"/>
  <c r="K30" i="108"/>
  <c r="J30" i="108"/>
  <c r="I30" i="108"/>
  <c r="H30" i="108"/>
  <c r="G30" i="108"/>
  <c r="K28" i="108"/>
  <c r="J28" i="108"/>
  <c r="K27" i="108"/>
  <c r="J27" i="108"/>
  <c r="I27" i="108"/>
  <c r="H27" i="108"/>
  <c r="C27" i="108"/>
  <c r="K26" i="108"/>
  <c r="J26" i="108"/>
  <c r="I26" i="108"/>
  <c r="H26" i="108"/>
  <c r="G26" i="108"/>
  <c r="K25" i="108"/>
  <c r="J25" i="108"/>
  <c r="I25" i="108"/>
  <c r="H25" i="108"/>
  <c r="G25" i="108"/>
  <c r="K24" i="108"/>
  <c r="J24" i="108"/>
  <c r="I24" i="108"/>
  <c r="H24" i="108"/>
  <c r="G24" i="108"/>
  <c r="K23" i="108"/>
  <c r="J23" i="108"/>
  <c r="I23" i="108"/>
  <c r="H23" i="108"/>
  <c r="G23" i="108"/>
  <c r="K22" i="108"/>
  <c r="J22" i="108"/>
  <c r="I22" i="108"/>
  <c r="H22" i="108"/>
  <c r="G22" i="108"/>
  <c r="K21" i="108"/>
  <c r="J21" i="108"/>
  <c r="I21" i="108"/>
  <c r="H21" i="108"/>
  <c r="G21" i="108"/>
  <c r="K19" i="108"/>
  <c r="J19" i="108"/>
  <c r="K18" i="108"/>
  <c r="J18" i="108"/>
  <c r="I18" i="108"/>
  <c r="H18" i="108"/>
  <c r="G18" i="108"/>
  <c r="K17" i="108"/>
  <c r="J17" i="108"/>
  <c r="I17" i="108"/>
  <c r="H17" i="108"/>
  <c r="G17" i="108"/>
  <c r="K16" i="108"/>
  <c r="J16" i="108"/>
  <c r="I16" i="108"/>
  <c r="H16" i="108"/>
  <c r="G16" i="108"/>
  <c r="C16" i="108"/>
  <c r="K15" i="108"/>
  <c r="J15" i="108"/>
  <c r="I15" i="108"/>
  <c r="H15" i="108"/>
  <c r="G15" i="108"/>
  <c r="K14" i="108"/>
  <c r="J14" i="108"/>
  <c r="I14" i="108"/>
  <c r="H14" i="108"/>
  <c r="G14" i="108"/>
  <c r="K13" i="108"/>
  <c r="J13" i="108"/>
  <c r="I13" i="108"/>
  <c r="H13" i="108"/>
  <c r="G13" i="108"/>
  <c r="K12" i="108"/>
  <c r="J12" i="108"/>
  <c r="I12" i="108"/>
  <c r="H12" i="108"/>
  <c r="G12" i="108"/>
  <c r="K11" i="108"/>
  <c r="J11" i="108"/>
  <c r="F11" i="108"/>
  <c r="C11" i="108"/>
  <c r="H7" i="108"/>
  <c r="J47" i="113"/>
  <c r="G47" i="113"/>
  <c r="F47" i="113"/>
  <c r="E47" i="113"/>
  <c r="C72" i="114" s="1"/>
  <c r="D47" i="113"/>
  <c r="C47" i="113"/>
  <c r="B47" i="113"/>
  <c r="C46" i="113"/>
  <c r="B46" i="113"/>
  <c r="J44" i="113"/>
  <c r="G44" i="113"/>
  <c r="F44" i="113"/>
  <c r="E44" i="113"/>
  <c r="C68" i="114" s="1"/>
  <c r="D44" i="113"/>
  <c r="C44" i="113"/>
  <c r="J43" i="113"/>
  <c r="G43" i="113"/>
  <c r="F43" i="113"/>
  <c r="E43" i="113"/>
  <c r="C66" i="114" s="1"/>
  <c r="D43" i="113"/>
  <c r="C43" i="113"/>
  <c r="J42" i="113"/>
  <c r="G42" i="113"/>
  <c r="F42" i="113"/>
  <c r="E42" i="113"/>
  <c r="C64" i="114" s="1"/>
  <c r="D42" i="113"/>
  <c r="C42" i="113"/>
  <c r="J41" i="113"/>
  <c r="G41" i="113"/>
  <c r="F41" i="113"/>
  <c r="E41" i="113"/>
  <c r="C62" i="114" s="1"/>
  <c r="D41" i="113"/>
  <c r="C41" i="113"/>
  <c r="C40" i="113"/>
  <c r="B40" i="113"/>
  <c r="J38" i="113"/>
  <c r="G38" i="113"/>
  <c r="F38" i="113"/>
  <c r="E38" i="113"/>
  <c r="C58" i="114" s="1"/>
  <c r="D38" i="113"/>
  <c r="C38" i="113"/>
  <c r="J37" i="113"/>
  <c r="G37" i="113"/>
  <c r="F37" i="113"/>
  <c r="E37" i="113"/>
  <c r="C56" i="114" s="1"/>
  <c r="D37" i="113"/>
  <c r="C37" i="113"/>
  <c r="B37" i="113"/>
  <c r="J36" i="113"/>
  <c r="G36" i="113"/>
  <c r="F36" i="113"/>
  <c r="E36" i="113"/>
  <c r="C54" i="114" s="1"/>
  <c r="D36" i="113"/>
  <c r="C36" i="113"/>
  <c r="B36" i="113"/>
  <c r="J35" i="113"/>
  <c r="G35" i="113"/>
  <c r="F35" i="113"/>
  <c r="E35" i="113"/>
  <c r="C52" i="114" s="1"/>
  <c r="D35" i="113"/>
  <c r="C35" i="113"/>
  <c r="B35" i="113"/>
  <c r="J34" i="113"/>
  <c r="G34" i="113"/>
  <c r="F34" i="113"/>
  <c r="E34" i="113"/>
  <c r="D34" i="113"/>
  <c r="C34" i="113"/>
  <c r="B34" i="113"/>
  <c r="J33" i="113"/>
  <c r="G33" i="113"/>
  <c r="F33" i="113"/>
  <c r="E33" i="113"/>
  <c r="C48" i="114" s="1"/>
  <c r="D33" i="113"/>
  <c r="C33" i="113"/>
  <c r="B33" i="113"/>
  <c r="J32" i="113"/>
  <c r="G32" i="113"/>
  <c r="F32" i="113"/>
  <c r="E32" i="113"/>
  <c r="C46" i="114" s="1"/>
  <c r="D32" i="113"/>
  <c r="C32" i="113"/>
  <c r="B32" i="113"/>
  <c r="J31" i="113"/>
  <c r="G31" i="113"/>
  <c r="F31" i="113"/>
  <c r="E31" i="113"/>
  <c r="C44" i="114" s="1"/>
  <c r="D31" i="113"/>
  <c r="C31" i="113"/>
  <c r="B31" i="113"/>
  <c r="J30" i="113"/>
  <c r="H30" i="113"/>
  <c r="H31" i="113" s="1"/>
  <c r="G30" i="113"/>
  <c r="I30" i="113" s="1"/>
  <c r="F30" i="113"/>
  <c r="E30" i="113"/>
  <c r="C42" i="114" s="1"/>
  <c r="D30" i="113"/>
  <c r="C30" i="113"/>
  <c r="B30" i="113"/>
  <c r="B42" i="114" s="1"/>
  <c r="C29" i="113"/>
  <c r="B29" i="113"/>
  <c r="J27" i="113"/>
  <c r="G27" i="113"/>
  <c r="F27" i="113"/>
  <c r="E27" i="113"/>
  <c r="C38" i="114" s="1"/>
  <c r="D27" i="113"/>
  <c r="C27" i="113"/>
  <c r="B27" i="113"/>
  <c r="J26" i="113"/>
  <c r="G26" i="113"/>
  <c r="F26" i="113"/>
  <c r="E26" i="113"/>
  <c r="C36" i="114" s="1"/>
  <c r="D26" i="113"/>
  <c r="C26" i="113"/>
  <c r="B26" i="113"/>
  <c r="J25" i="113"/>
  <c r="G25" i="113"/>
  <c r="F25" i="113"/>
  <c r="E25" i="113"/>
  <c r="C34" i="114" s="1"/>
  <c r="D25" i="113"/>
  <c r="C25" i="113"/>
  <c r="B25" i="113"/>
  <c r="J24" i="113"/>
  <c r="G24" i="113"/>
  <c r="F24" i="113"/>
  <c r="E24" i="113"/>
  <c r="C32" i="114" s="1"/>
  <c r="D24" i="113"/>
  <c r="C24" i="113"/>
  <c r="B24" i="113"/>
  <c r="J23" i="113"/>
  <c r="G23" i="113"/>
  <c r="F23" i="113"/>
  <c r="E23" i="113"/>
  <c r="C30" i="114" s="1"/>
  <c r="D23" i="113"/>
  <c r="C23" i="113"/>
  <c r="B23" i="113"/>
  <c r="J22" i="113"/>
  <c r="G22" i="113"/>
  <c r="F22" i="113"/>
  <c r="E22" i="113"/>
  <c r="C28" i="114" s="1"/>
  <c r="D22" i="113"/>
  <c r="C22" i="113"/>
  <c r="B22" i="113"/>
  <c r="J21" i="113"/>
  <c r="H21" i="113"/>
  <c r="H22" i="113" s="1"/>
  <c r="G21" i="113"/>
  <c r="I21" i="113" s="1"/>
  <c r="F21" i="113"/>
  <c r="E21" i="113"/>
  <c r="C26" i="114" s="1"/>
  <c r="D21" i="113"/>
  <c r="C21" i="113"/>
  <c r="B21" i="113"/>
  <c r="C20" i="113"/>
  <c r="B20" i="113"/>
  <c r="J18" i="113"/>
  <c r="G18" i="113"/>
  <c r="F18" i="113"/>
  <c r="E18" i="113"/>
  <c r="D18" i="113"/>
  <c r="C18" i="113"/>
  <c r="B18" i="113"/>
  <c r="J17" i="113"/>
  <c r="G17" i="113"/>
  <c r="F17" i="113"/>
  <c r="E17" i="113"/>
  <c r="D17" i="113"/>
  <c r="C17" i="113"/>
  <c r="B17" i="113"/>
  <c r="J16" i="113"/>
  <c r="G16" i="113"/>
  <c r="F16" i="113"/>
  <c r="E16" i="113"/>
  <c r="D16" i="113"/>
  <c r="C16" i="113"/>
  <c r="B16" i="113"/>
  <c r="J15" i="113"/>
  <c r="G15" i="113"/>
  <c r="F15" i="113"/>
  <c r="E15" i="113"/>
  <c r="D15" i="113"/>
  <c r="C15" i="113"/>
  <c r="B15" i="113"/>
  <c r="J14" i="113"/>
  <c r="G14" i="113"/>
  <c r="F14" i="113"/>
  <c r="E14" i="113"/>
  <c r="D14" i="113"/>
  <c r="C14" i="113"/>
  <c r="B14" i="113"/>
  <c r="J13" i="113"/>
  <c r="G13" i="113"/>
  <c r="F13" i="113"/>
  <c r="E13" i="113"/>
  <c r="D13" i="113"/>
  <c r="C13" i="113"/>
  <c r="B13" i="113"/>
  <c r="J12" i="113"/>
  <c r="H12" i="113"/>
  <c r="H13" i="113" s="1"/>
  <c r="G12" i="113"/>
  <c r="I12" i="113" s="1"/>
  <c r="F12" i="113"/>
  <c r="E12" i="113"/>
  <c r="D12" i="113"/>
  <c r="C12" i="113"/>
  <c r="B12" i="113"/>
  <c r="J11" i="113"/>
  <c r="I11" i="113"/>
  <c r="G11" i="113"/>
  <c r="F11" i="113"/>
  <c r="E11" i="113"/>
  <c r="D11" i="113"/>
  <c r="C11" i="113"/>
  <c r="B11" i="113"/>
  <c r="C10" i="113"/>
  <c r="B10" i="113"/>
  <c r="M7" i="113"/>
  <c r="I10" i="100" s="1"/>
  <c r="J7" i="113"/>
  <c r="G17" i="115"/>
  <c r="H14" i="115"/>
  <c r="G14" i="115"/>
  <c r="I32" i="113" l="1"/>
  <c r="I13" i="113"/>
  <c r="I22" i="113"/>
  <c r="I31" i="113"/>
  <c r="H14" i="113"/>
  <c r="H23" i="113"/>
  <c r="L22" i="113"/>
  <c r="H32" i="113"/>
  <c r="K47" i="113"/>
  <c r="K44" i="113"/>
  <c r="K38" i="113"/>
  <c r="K41" i="113"/>
  <c r="K42" i="113"/>
  <c r="K21" i="113"/>
  <c r="K22" i="113"/>
  <c r="K25" i="113"/>
  <c r="K26" i="113"/>
  <c r="L12" i="113"/>
  <c r="L21" i="113"/>
  <c r="K15" i="113"/>
  <c r="K23" i="113"/>
  <c r="K24" i="113"/>
  <c r="K27" i="113"/>
  <c r="K33" i="113"/>
  <c r="K37" i="113"/>
  <c r="K43" i="113"/>
  <c r="K11" i="113"/>
  <c r="L11" i="113" s="1"/>
  <c r="K12" i="113"/>
  <c r="K13" i="113"/>
  <c r="L13" i="113" s="1"/>
  <c r="K14" i="113"/>
  <c r="K16" i="113"/>
  <c r="K17" i="113"/>
  <c r="K18" i="113"/>
  <c r="K30" i="113"/>
  <c r="L30" i="113" s="1"/>
  <c r="K31" i="113"/>
  <c r="L31" i="113" s="1"/>
  <c r="K32" i="113"/>
  <c r="K34" i="113"/>
  <c r="K35" i="113"/>
  <c r="K36" i="113"/>
  <c r="D44" i="114" l="1"/>
  <c r="D8" i="114"/>
  <c r="D42" i="114"/>
  <c r="D12" i="114"/>
  <c r="D28" i="114"/>
  <c r="H15" i="113"/>
  <c r="L14" i="113"/>
  <c r="D10" i="114"/>
  <c r="H24" i="113"/>
  <c r="L23" i="113"/>
  <c r="H33" i="113"/>
  <c r="L32" i="113"/>
  <c r="I23" i="113"/>
  <c r="D26" i="114"/>
  <c r="I14" i="113"/>
  <c r="H25" i="113" l="1"/>
  <c r="L24" i="113"/>
  <c r="I24" i="113"/>
  <c r="D46" i="114"/>
  <c r="H34" i="113"/>
  <c r="L33" i="113"/>
  <c r="I33" i="113"/>
  <c r="J10" i="114"/>
  <c r="J11" i="114" s="1"/>
  <c r="I10" i="114"/>
  <c r="I11" i="114" s="1"/>
  <c r="H10" i="114"/>
  <c r="H11" i="114" s="1"/>
  <c r="K10" i="114"/>
  <c r="K11" i="114" s="1"/>
  <c r="G10" i="114"/>
  <c r="J28" i="114"/>
  <c r="J29" i="114" s="1"/>
  <c r="I28" i="114"/>
  <c r="I29" i="114" s="1"/>
  <c r="H28" i="114"/>
  <c r="H29" i="114" s="1"/>
  <c r="G28" i="114"/>
  <c r="K28" i="114"/>
  <c r="K29" i="114" s="1"/>
  <c r="M8" i="114"/>
  <c r="M9" i="114" s="1"/>
  <c r="I8" i="114"/>
  <c r="I9" i="114" s="1"/>
  <c r="P8" i="114"/>
  <c r="P9" i="114" s="1"/>
  <c r="L8" i="114"/>
  <c r="L9" i="114" s="1"/>
  <c r="H8" i="114"/>
  <c r="H9" i="114" s="1"/>
  <c r="O8" i="114"/>
  <c r="O9" i="114" s="1"/>
  <c r="K8" i="114"/>
  <c r="K9" i="114" s="1"/>
  <c r="G8" i="114"/>
  <c r="J8" i="114"/>
  <c r="J9" i="114" s="1"/>
  <c r="N8" i="114"/>
  <c r="N9" i="114" s="1"/>
  <c r="H16" i="113"/>
  <c r="L15" i="113"/>
  <c r="I15" i="113"/>
  <c r="J12" i="114"/>
  <c r="J13" i="114" s="1"/>
  <c r="K12" i="114"/>
  <c r="K13" i="114" s="1"/>
  <c r="I12" i="114"/>
  <c r="I13" i="114" s="1"/>
  <c r="H12" i="114"/>
  <c r="H13" i="114" s="1"/>
  <c r="G12" i="114"/>
  <c r="N44" i="114"/>
  <c r="N45" i="114" s="1"/>
  <c r="J44" i="114"/>
  <c r="J45" i="114" s="1"/>
  <c r="M44" i="114"/>
  <c r="M45" i="114" s="1"/>
  <c r="L44" i="114"/>
  <c r="L45" i="114" s="1"/>
  <c r="K44" i="114"/>
  <c r="K45" i="114" s="1"/>
  <c r="I44" i="114"/>
  <c r="M42" i="114"/>
  <c r="M43" i="114" s="1"/>
  <c r="I42" i="114"/>
  <c r="L42" i="114"/>
  <c r="L43" i="114" s="1"/>
  <c r="K42" i="114"/>
  <c r="K43" i="114" s="1"/>
  <c r="J42" i="114"/>
  <c r="J43" i="114" s="1"/>
  <c r="N42" i="114"/>
  <c r="N43" i="114" s="1"/>
  <c r="K26" i="114"/>
  <c r="K27" i="114" s="1"/>
  <c r="G26" i="114"/>
  <c r="J26" i="114"/>
  <c r="J27" i="114" s="1"/>
  <c r="I26" i="114"/>
  <c r="I27" i="114" s="1"/>
  <c r="H26" i="114"/>
  <c r="H27" i="114" s="1"/>
  <c r="D30" i="114"/>
  <c r="D14" i="114"/>
  <c r="D48" i="114" l="1"/>
  <c r="Q26" i="114"/>
  <c r="G27" i="114"/>
  <c r="K46" i="114"/>
  <c r="K47" i="114" s="1"/>
  <c r="N46" i="114"/>
  <c r="N47" i="114" s="1"/>
  <c r="I46" i="114"/>
  <c r="M46" i="114"/>
  <c r="M47" i="114" s="1"/>
  <c r="L46" i="114"/>
  <c r="L47" i="114" s="1"/>
  <c r="J46" i="114"/>
  <c r="J47" i="114" s="1"/>
  <c r="I30" i="114"/>
  <c r="I31" i="114" s="1"/>
  <c r="G30" i="114"/>
  <c r="K30" i="114"/>
  <c r="K31" i="114" s="1"/>
  <c r="J30" i="114"/>
  <c r="J31" i="114" s="1"/>
  <c r="H30" i="114"/>
  <c r="H31" i="114" s="1"/>
  <c r="I45" i="114"/>
  <c r="Q44" i="114"/>
  <c r="D16" i="114"/>
  <c r="Q8" i="114"/>
  <c r="G9" i="114"/>
  <c r="H17" i="113"/>
  <c r="L16" i="113"/>
  <c r="I16" i="113"/>
  <c r="H35" i="113"/>
  <c r="L34" i="113"/>
  <c r="I34" i="113"/>
  <c r="D32" i="114"/>
  <c r="I14" i="114"/>
  <c r="I15" i="114" s="1"/>
  <c r="G14" i="114"/>
  <c r="K14" i="114"/>
  <c r="K15" i="114" s="1"/>
  <c r="J14" i="114"/>
  <c r="J15" i="114" s="1"/>
  <c r="H14" i="114"/>
  <c r="H15" i="114" s="1"/>
  <c r="I43" i="114"/>
  <c r="Q42" i="114"/>
  <c r="G13" i="114"/>
  <c r="Q12" i="114"/>
  <c r="G29" i="114"/>
  <c r="Q28" i="114"/>
  <c r="G11" i="114"/>
  <c r="Q10" i="114"/>
  <c r="H26" i="113"/>
  <c r="L25" i="113"/>
  <c r="I25" i="113"/>
  <c r="D34" i="114" l="1"/>
  <c r="H36" i="113"/>
  <c r="L35" i="113"/>
  <c r="I35" i="113"/>
  <c r="Q46" i="114"/>
  <c r="I47" i="114"/>
  <c r="D50" i="114"/>
  <c r="H16" i="114"/>
  <c r="H17" i="114" s="1"/>
  <c r="J16" i="114"/>
  <c r="J17" i="114" s="1"/>
  <c r="I16" i="114"/>
  <c r="I17" i="114" s="1"/>
  <c r="G16" i="114"/>
  <c r="K16" i="114"/>
  <c r="K17" i="114" s="1"/>
  <c r="H27" i="113"/>
  <c r="L26" i="113"/>
  <c r="I26" i="113"/>
  <c r="G15" i="114"/>
  <c r="Q14" i="114"/>
  <c r="H32" i="114"/>
  <c r="H33" i="114" s="1"/>
  <c r="J32" i="114"/>
  <c r="J33" i="114" s="1"/>
  <c r="I32" i="114"/>
  <c r="I33" i="114" s="1"/>
  <c r="G32" i="114"/>
  <c r="K32" i="114"/>
  <c r="K33" i="114" s="1"/>
  <c r="H18" i="113"/>
  <c r="L17" i="113"/>
  <c r="I17" i="113"/>
  <c r="D18" i="114"/>
  <c r="G18" i="114" s="1"/>
  <c r="Q18" i="114" s="1"/>
  <c r="G31" i="114"/>
  <c r="Q30" i="114"/>
  <c r="L48" i="114"/>
  <c r="L49" i="114" s="1"/>
  <c r="J48" i="114"/>
  <c r="J49" i="114" s="1"/>
  <c r="N48" i="114"/>
  <c r="N49" i="114" s="1"/>
  <c r="I48" i="114"/>
  <c r="M48" i="114"/>
  <c r="M49" i="114" s="1"/>
  <c r="K48" i="114"/>
  <c r="K49" i="114" s="1"/>
  <c r="L18" i="113" l="1"/>
  <c r="I18" i="113"/>
  <c r="I49" i="114"/>
  <c r="Q48" i="114"/>
  <c r="D36" i="114"/>
  <c r="Q16" i="114"/>
  <c r="G17" i="114"/>
  <c r="K34" i="114"/>
  <c r="K35" i="114" s="1"/>
  <c r="G34" i="114"/>
  <c r="H34" i="114"/>
  <c r="H35" i="114" s="1"/>
  <c r="J34" i="114"/>
  <c r="J35" i="114" s="1"/>
  <c r="I34" i="114"/>
  <c r="I35" i="114" s="1"/>
  <c r="Q32" i="114"/>
  <c r="G33" i="114"/>
  <c r="L27" i="113"/>
  <c r="L28" i="113" s="1"/>
  <c r="I27" i="113"/>
  <c r="M50" i="114"/>
  <c r="M51" i="114" s="1"/>
  <c r="I50" i="114"/>
  <c r="K50" i="114"/>
  <c r="K51" i="114" s="1"/>
  <c r="J50" i="114"/>
  <c r="J51" i="114" s="1"/>
  <c r="N50" i="114"/>
  <c r="N51" i="114" s="1"/>
  <c r="L50" i="114"/>
  <c r="L51" i="114" s="1"/>
  <c r="D52" i="114"/>
  <c r="D20" i="114"/>
  <c r="H37" i="113"/>
  <c r="L36" i="113"/>
  <c r="I36" i="113"/>
  <c r="I51" i="114" l="1"/>
  <c r="Q50" i="114"/>
  <c r="G20" i="114"/>
  <c r="Q20" i="114" s="1"/>
  <c r="G35" i="114"/>
  <c r="Q34" i="114"/>
  <c r="D54" i="114"/>
  <c r="L37" i="113"/>
  <c r="H38" i="113"/>
  <c r="I37" i="113"/>
  <c r="N52" i="114"/>
  <c r="N53" i="114" s="1"/>
  <c r="J52" i="114"/>
  <c r="J53" i="114" s="1"/>
  <c r="L52" i="114"/>
  <c r="L53" i="114" s="1"/>
  <c r="K52" i="114"/>
  <c r="K53" i="114" s="1"/>
  <c r="I52" i="114"/>
  <c r="M52" i="114"/>
  <c r="M53" i="114" s="1"/>
  <c r="D38" i="114"/>
  <c r="J36" i="114"/>
  <c r="J37" i="114" s="1"/>
  <c r="K36" i="114"/>
  <c r="K37" i="114" s="1"/>
  <c r="I36" i="114"/>
  <c r="I37" i="114" s="1"/>
  <c r="H36" i="114"/>
  <c r="H37" i="114" s="1"/>
  <c r="G36" i="114"/>
  <c r="D22" i="114"/>
  <c r="G22" i="114" s="1"/>
  <c r="Q22" i="114" s="1"/>
  <c r="L19" i="113"/>
  <c r="K54" i="114" l="1"/>
  <c r="K55" i="114" s="1"/>
  <c r="M54" i="114"/>
  <c r="M55" i="114" s="1"/>
  <c r="L54" i="114"/>
  <c r="L55" i="114" s="1"/>
  <c r="J54" i="114"/>
  <c r="J55" i="114" s="1"/>
  <c r="N54" i="114"/>
  <c r="N55" i="114" s="1"/>
  <c r="I54" i="114"/>
  <c r="I38" i="114"/>
  <c r="I39" i="114" s="1"/>
  <c r="H38" i="114"/>
  <c r="H39" i="114" s="1"/>
  <c r="G38" i="114"/>
  <c r="K38" i="114"/>
  <c r="K39" i="114" s="1"/>
  <c r="J38" i="114"/>
  <c r="J39" i="114" s="1"/>
  <c r="H41" i="113"/>
  <c r="L38" i="113"/>
  <c r="I38" i="113"/>
  <c r="D56" i="114"/>
  <c r="G37" i="114"/>
  <c r="Q36" i="114"/>
  <c r="I53" i="114"/>
  <c r="Q52" i="114"/>
  <c r="L41" i="113" l="1"/>
  <c r="H42" i="113"/>
  <c r="I41" i="113"/>
  <c r="L56" i="114"/>
  <c r="L57" i="114" s="1"/>
  <c r="N56" i="114"/>
  <c r="N57" i="114" s="1"/>
  <c r="I56" i="114"/>
  <c r="M56" i="114"/>
  <c r="M57" i="114" s="1"/>
  <c r="K56" i="114"/>
  <c r="K57" i="114" s="1"/>
  <c r="J56" i="114"/>
  <c r="J57" i="114" s="1"/>
  <c r="Q54" i="114"/>
  <c r="I55" i="114"/>
  <c r="D58" i="114"/>
  <c r="L39" i="113"/>
  <c r="G39" i="114"/>
  <c r="Q38" i="114"/>
  <c r="I57" i="114" l="1"/>
  <c r="Q56" i="114"/>
  <c r="L42" i="113"/>
  <c r="H43" i="113"/>
  <c r="I42" i="113"/>
  <c r="M58" i="114"/>
  <c r="M59" i="114" s="1"/>
  <c r="I58" i="114"/>
  <c r="J58" i="114"/>
  <c r="J59" i="114" s="1"/>
  <c r="N58" i="114"/>
  <c r="N59" i="114" s="1"/>
  <c r="L58" i="114"/>
  <c r="L59" i="114" s="1"/>
  <c r="K58" i="114"/>
  <c r="K59" i="114" s="1"/>
  <c r="D62" i="114"/>
  <c r="L43" i="113" l="1"/>
  <c r="H44" i="113"/>
  <c r="I43" i="113"/>
  <c r="Q58" i="114"/>
  <c r="I59" i="114"/>
  <c r="D64" i="114"/>
  <c r="P62" i="114"/>
  <c r="P63" i="114" s="1"/>
  <c r="L62" i="114"/>
  <c r="L63" i="114" s="1"/>
  <c r="M62" i="114"/>
  <c r="M63" i="114" s="1"/>
  <c r="K62" i="114"/>
  <c r="O62" i="114"/>
  <c r="O63" i="114" s="1"/>
  <c r="N62" i="114"/>
  <c r="N63" i="114" s="1"/>
  <c r="I44" i="113" l="1"/>
  <c r="H47" i="113"/>
  <c r="L44" i="113"/>
  <c r="K63" i="114"/>
  <c r="Q62" i="114"/>
  <c r="M64" i="114"/>
  <c r="M65" i="114" s="1"/>
  <c r="N64" i="114"/>
  <c r="N65" i="114" s="1"/>
  <c r="L64" i="114"/>
  <c r="L65" i="114" s="1"/>
  <c r="P64" i="114"/>
  <c r="P65" i="114" s="1"/>
  <c r="K64" i="114"/>
  <c r="O64" i="114"/>
  <c r="O65" i="114" s="1"/>
  <c r="D66" i="114"/>
  <c r="L45" i="113"/>
  <c r="D68" i="114" l="1"/>
  <c r="N66" i="114"/>
  <c r="N67" i="114" s="1"/>
  <c r="O66" i="114"/>
  <c r="O67" i="114" s="1"/>
  <c r="M66" i="114"/>
  <c r="M67" i="114" s="1"/>
  <c r="L66" i="114"/>
  <c r="L67" i="114" s="1"/>
  <c r="K66" i="114"/>
  <c r="P66" i="114"/>
  <c r="P67" i="114" s="1"/>
  <c r="Q64" i="114"/>
  <c r="K65" i="114"/>
  <c r="L47" i="113"/>
  <c r="I47" i="113"/>
  <c r="L51" i="113" s="1"/>
  <c r="E14" i="115" s="1"/>
  <c r="K67" i="114" l="1"/>
  <c r="Q66" i="114"/>
  <c r="D72" i="114"/>
  <c r="L48" i="113"/>
  <c r="O68" i="114"/>
  <c r="O69" i="114" s="1"/>
  <c r="K68" i="114"/>
  <c r="P68" i="114"/>
  <c r="P69" i="114" s="1"/>
  <c r="N68" i="114"/>
  <c r="N69" i="114" s="1"/>
  <c r="M68" i="114"/>
  <c r="M69" i="114" s="1"/>
  <c r="L68" i="114"/>
  <c r="L69" i="114" s="1"/>
  <c r="M48" i="113" l="1"/>
  <c r="L49" i="113"/>
  <c r="F72" i="114"/>
  <c r="E72" i="114"/>
  <c r="D76" i="114"/>
  <c r="K69" i="114"/>
  <c r="Q68" i="114"/>
  <c r="Q72" i="114" l="1"/>
  <c r="L52" i="113"/>
  <c r="M49" i="113"/>
  <c r="I14" i="115"/>
  <c r="M31" i="113"/>
  <c r="M13" i="113"/>
  <c r="M22" i="113"/>
  <c r="M12" i="113"/>
  <c r="M21" i="113"/>
  <c r="M11" i="113"/>
  <c r="M30" i="113"/>
  <c r="M32" i="113"/>
  <c r="M14" i="113"/>
  <c r="M23" i="113"/>
  <c r="M33" i="113"/>
  <c r="M15" i="113"/>
  <c r="M24" i="113"/>
  <c r="M34" i="113"/>
  <c r="M25" i="113"/>
  <c r="M16" i="113"/>
  <c r="M17" i="113"/>
  <c r="M26" i="113"/>
  <c r="M35" i="113"/>
  <c r="M28" i="113"/>
  <c r="M36" i="113"/>
  <c r="M18" i="113"/>
  <c r="M27" i="113"/>
  <c r="M19" i="113"/>
  <c r="M37" i="113"/>
  <c r="M38" i="113"/>
  <c r="M41" i="113"/>
  <c r="M39" i="113"/>
  <c r="M42" i="113"/>
  <c r="M43" i="113"/>
  <c r="M45" i="113"/>
  <c r="M44" i="113"/>
  <c r="M47" i="113"/>
  <c r="I17" i="115" l="1"/>
  <c r="F14" i="115"/>
</calcChain>
</file>

<file path=xl/sharedStrings.xml><?xml version="1.0" encoding="utf-8"?>
<sst xmlns="http://schemas.openxmlformats.org/spreadsheetml/2006/main" count="1880" uniqueCount="572">
  <si>
    <r>
      <rPr>
        <b/>
        <sz val="10"/>
        <rFont val="Arial"/>
        <charset val="134"/>
      </rPr>
      <t xml:space="preserve">OBJETO: </t>
    </r>
    <r>
      <rPr>
        <sz val="10"/>
        <rFont val="Arial"/>
        <charset val="134"/>
      </rPr>
      <t>CONTRATAÇÃO DE SERVIÇOS COMUNS DE ENGENHARIA PARA EXECUÇÃO DE PASSAGENS MOLHADAS EM MUNICÍPIOS LOCALIZADOS NA ÁREA DE JURISDIÇÃO DA 2ª SUPERINTENDÊNCIA REGIONAL DA CODEVASF, NO ESTADO DA BAHIA.</t>
    </r>
  </si>
  <si>
    <t>Item</t>
  </si>
  <si>
    <t>Descrição</t>
  </si>
  <si>
    <t>Quantidade (m²)</t>
  </si>
  <si>
    <t>R$/m²</t>
  </si>
  <si>
    <t>Nº Mód.</t>
  </si>
  <si>
    <t>Valor Mód. Mínimo</t>
  </si>
  <si>
    <t>Valor total</t>
  </si>
  <si>
    <t>Execução de Passagem Molhada</t>
  </si>
  <si>
    <t>SOMA TOTAL</t>
  </si>
  <si>
    <t xml:space="preserve">                                                             MINISTÉRIO DA INTEGRAÇÃO E DO DESENVOLVIMENTO REGIONAL - MIDR</t>
  </si>
  <si>
    <t>PLANILHA ORÇAMENTÁRIA</t>
  </si>
  <si>
    <t xml:space="preserve">                                                               COMPANHIA DE DESENVOLVIMENTO DOS VALES DO SÃO FRANCISCO E DO PARNAÍBA</t>
  </si>
  <si>
    <t xml:space="preserve">                                                                           2ª SUPERINTENDÊNCIA REGIONAL - BOM JESUS DA LAPA/BA.</t>
  </si>
  <si>
    <t xml:space="preserve">                                                   GERÊNCIA DE INFRAESTRUTURA - 2ª/GRD</t>
  </si>
  <si>
    <t>OBJETO: CONTRATAÇÃO DE SERVIÇOS COMUNS DE ENGENHARIA PARA EXECUÇÃO DE PASSAGENS MOLHADAS EM MUNICÍPIOS LOCALIZADOS NA ÁREA DE JURISDIÇÃO DA 2ª SUPERINTENDÊNCIA REGIONAL DA CODEVASF, NO ESTADO DA BAHIA.</t>
  </si>
  <si>
    <t xml:space="preserve">MÊS DE REFERÊNCIA SINAPI-BA: SETEMBRO/2024; SICRO-BA: JULHO/2024 E ORSE: JULHO/2024. </t>
  </si>
  <si>
    <t>BDI:</t>
  </si>
  <si>
    <t>ENCARGOS SOCIAIS:</t>
  </si>
  <si>
    <t>PLANILHA ORÇAMENTÁRIA - GLOBAL</t>
  </si>
  <si>
    <t>ITEM</t>
  </si>
  <si>
    <t>CÓDIGO</t>
  </si>
  <si>
    <t>BANCO</t>
  </si>
  <si>
    <t>DISCRIMINAÇÃO DOS SERVIÇOS</t>
  </si>
  <si>
    <t>UND</t>
  </si>
  <si>
    <t>QUANTIDADE MÉDIA POR PASSAGEM MOLHADA</t>
  </si>
  <si>
    <t>QUANTIDADE DE PASSAGENS MOLHADAS</t>
  </si>
  <si>
    <t>QUANTIDADE GLOBAL</t>
  </si>
  <si>
    <t>CUSTO UNITÁRIO (SEM BDI)</t>
  </si>
  <si>
    <t>PREÇO UNITÁRIO (COM BDI)</t>
  </si>
  <si>
    <t>PREÇO TOTAL GLOBAL (COM BDI)</t>
  </si>
  <si>
    <t>%</t>
  </si>
  <si>
    <t>TOTAL DO ITEM 1</t>
  </si>
  <si>
    <t>TOTAL DO ITEM 2</t>
  </si>
  <si>
    <t>3.9</t>
  </si>
  <si>
    <t>TOTAL DO ITEM 3</t>
  </si>
  <si>
    <t>4.1</t>
  </si>
  <si>
    <t>4.2</t>
  </si>
  <si>
    <t>4.3</t>
  </si>
  <si>
    <t>4.4</t>
  </si>
  <si>
    <t>TOTAL DO ITEM 4</t>
  </si>
  <si>
    <t>TOTAL DO ITEM 5</t>
  </si>
  <si>
    <t>TOTAL GERAL (R$)</t>
  </si>
  <si>
    <t>ÁREA TOTAL DE PASSAGEM MOLHADA =</t>
  </si>
  <si>
    <t>PREÇO UNITÁRIO UNITÁRIO (R$/m²) =</t>
  </si>
  <si>
    <t xml:space="preserve">MÊS DE REFERÊNCIA SINAPI-BA: AGOSTO/2024; SICRO-BA: ABRIL/2024 E ORSE: JUNHO/2024. </t>
  </si>
  <si>
    <t>PLANILHA ORÇAMENTÁRIA - PASSAGEM MOLHADA COM ÁREA TOTAL DE 1.080 M²</t>
  </si>
  <si>
    <t>QUANTIDADE</t>
  </si>
  <si>
    <t>PREÇO TOTAL (COM BDI)</t>
  </si>
  <si>
    <t>MEMÓRIA DE CÁLCULOS</t>
  </si>
  <si>
    <t>SERVIÇOS PRELIMINARES</t>
  </si>
  <si>
    <t>1.1</t>
  </si>
  <si>
    <t>CODEVASF</t>
  </si>
  <si>
    <t>Administração Local do Canteiro de Obras</t>
  </si>
  <si>
    <t>Serão utilizados por 40 m de passagem molhada: 40 h de encarregado e 8 h de engenheiro.</t>
  </si>
  <si>
    <t>1.2</t>
  </si>
  <si>
    <t>SICRO</t>
  </si>
  <si>
    <t>Transporte com cavalo mecânico com semirreboque com capacidade de 30 t - rodovia pavimentada - mobilização.</t>
  </si>
  <si>
    <t>txkm</t>
  </si>
  <si>
    <t xml:space="preserve">97,99 toneladas * 15 km = 1.469,85 toneladas por km </t>
  </si>
  <si>
    <t>1.3</t>
  </si>
  <si>
    <t>Transporte com cavalo mecânico com semirreboque com capacidade de 30 t - rodovia em revestimento primário - mobilização.</t>
  </si>
  <si>
    <t xml:space="preserve">97,99 toneladas * 30 km = 2.939,70 toneladas por km </t>
  </si>
  <si>
    <t>1.4</t>
  </si>
  <si>
    <t>Transporte com cavalo mecânico com semirreboque com capacidade de 30 t - rodovia pavimentada - Desmobilização.</t>
  </si>
  <si>
    <t>1.5</t>
  </si>
  <si>
    <t>Transporte com cavalo mecânico com semirreboque com capacidade de 30 t - rodovia em revestimento primário - Desmobilização.</t>
  </si>
  <si>
    <t>1.6</t>
  </si>
  <si>
    <t>Placa de obra em chapa de aço galvanizado (1,60 m * 3,20 m)</t>
  </si>
  <si>
    <t>m²</t>
  </si>
  <si>
    <t>1,60 m * 3,20 m (largura * altura) = 5,12 m² por placa</t>
  </si>
  <si>
    <t>1.7</t>
  </si>
  <si>
    <t>ORSE</t>
  </si>
  <si>
    <t>Barracão de obras de médio porte reapoveitamento 2 vezes</t>
  </si>
  <si>
    <t>4,00 m * 3,00 m (comprimento * largura) = 12,00 m²</t>
  </si>
  <si>
    <t>1.8</t>
  </si>
  <si>
    <t>SINAPI</t>
  </si>
  <si>
    <t>Locação convencional de obra, utilizando gabarito de tábuas corridas pontaletadas a cada 2,00 m - 2 utilizações</t>
  </si>
  <si>
    <t>m</t>
  </si>
  <si>
    <t>45,00 m + 45,00 m + 11,00 m + 11,00 m = 112,00 m (retângulo com 45,00 m * 11 m).</t>
  </si>
  <si>
    <t>TERRAPLENAGEM</t>
  </si>
  <si>
    <t>2.1</t>
  </si>
  <si>
    <t>Limpeza mecanizada da camada vegetal com retroescavadeira de pneus com capacidade de 0,76 m³ - 58 Kw</t>
  </si>
  <si>
    <t>100 m * 6,00 m (comprimento * largura) = 600,00 m²</t>
  </si>
  <si>
    <t>2.2</t>
  </si>
  <si>
    <t>Escavação e carga de material de jazida com escavadeira hidráulica de 1,56 m³</t>
  </si>
  <si>
    <t>m³</t>
  </si>
  <si>
    <t>126,75 m³ + 504,00 m³ = 630,75 m³</t>
  </si>
  <si>
    <t>2.3</t>
  </si>
  <si>
    <t>Transporte com caminhão basculante com caçamba estanque com capacidade de 14 m³ - rodovia em leito natural</t>
  </si>
  <si>
    <t xml:space="preserve">(126,75 m³ + 504,00 m³) * 1,50 toneladas/m³ * 15 km = 14.191,88 txkm </t>
  </si>
  <si>
    <t>2.4</t>
  </si>
  <si>
    <t>Compactação manual com soquete vibratório.</t>
  </si>
  <si>
    <t xml:space="preserve">(13,00 m * 5,00 m * 0,65 m) x 3 = 126,75 m³ </t>
  </si>
  <si>
    <t>2.5</t>
  </si>
  <si>
    <t>Regularização de subleito.</t>
  </si>
  <si>
    <t>(70,00 m +70,00 m) * 6,00 m = 840,00 m²</t>
  </si>
  <si>
    <t>2.6</t>
  </si>
  <si>
    <t>Execução de revestimento primário com material de jazida.</t>
  </si>
  <si>
    <t>(70,00 m +70,00 m) * 6,00 m * 0,60 m = 504,00 m³</t>
  </si>
  <si>
    <t>2.7</t>
  </si>
  <si>
    <t>Ensaios geotécnicos.</t>
  </si>
  <si>
    <t>und</t>
  </si>
  <si>
    <t>Ensaios geotécnicos: serão realizados em jazidas, em média 02 por passagem molhada.</t>
  </si>
  <si>
    <t xml:space="preserve">EXECUÇÃO DA PASSAGEM MOLHADA </t>
  </si>
  <si>
    <t>3.1</t>
  </si>
  <si>
    <t>Escavação mecânica com retroescavadeira em material de 1ª categoria</t>
  </si>
  <si>
    <t xml:space="preserve">(1,00 m * 1,30 m * 40,00 m x 2) + (1,00 m * 0,50 m * 5,00 m x 4) + (1,00 m * 0,50 m * 3,00 m x 4) = 120,00 m³ </t>
  </si>
  <si>
    <t>3.2</t>
  </si>
  <si>
    <t>Tubo de concreto PA1 comercial para drenagem - D = 0,50 m - fornecimento e instalação</t>
  </si>
  <si>
    <t>1,00 m/tubo  x 6 m/passagem x 4 passagens = 24,00 m</t>
  </si>
  <si>
    <t>3.3</t>
  </si>
  <si>
    <t>Concreto magro - confecção em betoneira e lançamento manual - areia e brita comerciais</t>
  </si>
  <si>
    <t xml:space="preserve">(40,00 m * 1,25 m * 0,05 m * 2) + (5,00 m * 0,50 m * 0,05 m * 4) + (3,00 m * 0,50 m * 0,05 m * 4) + (0,50 m * 6,00 m * 0,20 m * 4) = 8,20 m³ </t>
  </si>
  <si>
    <t>3.4</t>
  </si>
  <si>
    <t>Forma plana para estruturas, em compensado plastificado de 12mm, 12 usos, inclusive escoramento</t>
  </si>
  <si>
    <t>(40,00 m * 1,00 m * 2 * 2) + (5,00 m * 1,00 m * 2 * 4) + (3,00 m * 1,00 m * 2 * 4) = 224,00 m²</t>
  </si>
  <si>
    <t>3.5</t>
  </si>
  <si>
    <t>Pedra argamassada com cimento e areia 1:3 - areia e pedra de mão comercial - fornecimento e assentamento</t>
  </si>
  <si>
    <t>(40 m * 1,32 m² * 2) + (5 m * 0,75 m² * 4) + (3,00 m * 0,75 m² * 4) + (6,00 m * 0,50 m * 0,20 m * 4) = 132,00m²</t>
  </si>
  <si>
    <t>3.6</t>
  </si>
  <si>
    <t>Armação em aço CA-50 - fornecimento, preparo e colocação.</t>
  </si>
  <si>
    <t>kg</t>
  </si>
  <si>
    <t>(267 * (1,10) * 6,00 m * 0,617 kg/m) kg + (40 * (1,10) * 40,00 m * 0,617 kg/m) kg = 2.173,20 kg</t>
  </si>
  <si>
    <t>3.7</t>
  </si>
  <si>
    <t>Concreto fck = 20 MPa - confecção em betoneira e lançamento manual - areia e brita comerciais.</t>
  </si>
  <si>
    <t>40,00 m * 6,00 m * 0,15 m (comprimento * largura * espessura) = 36,00 m³</t>
  </si>
  <si>
    <t>3.8</t>
  </si>
  <si>
    <t>Reaterro e compactação com soquete vibratório</t>
  </si>
  <si>
    <t>(0,50 m + 0,20 m) * (40,00 m * 2 * 1,25) = 70,00 m³</t>
  </si>
  <si>
    <t>Tratamento de junta serrada, com tarugo de polietileno e selante à base de silicone</t>
  </si>
  <si>
    <t>6,00 m/junta * 7 juntas = 42,00 m de juntas de dilatação</t>
  </si>
  <si>
    <t>DRENAGEM E SINALIZAÇÃO</t>
  </si>
  <si>
    <t>CPU-04</t>
  </si>
  <si>
    <t>Meio-fio de concreto - MFC 04 - areia e brita comerciais - fôrma de madeira</t>
  </si>
  <si>
    <t>21,00 m/lado * 2 lados = 42,00 m</t>
  </si>
  <si>
    <t>Pintura de meio-fio com tinta branca a base de cal (caiação).</t>
  </si>
  <si>
    <t>(1,15 m * 0,30 m * 2 * 42) + (0,15 m * 1,00 m * 42) = 35,28 m²</t>
  </si>
  <si>
    <t>Suporte metálico galvanizado para placa de advertência ou regulamentação - lado ou diâmetro de 0,60 m - fornecimento e implantação</t>
  </si>
  <si>
    <t>2 suportes metálicos por passagem molhada (1 suporte por placa)</t>
  </si>
  <si>
    <t>Placa de regulamentação em aço D = 0,60 m - película retrorrefletiva tipo I + SI - fornecimento e implantação</t>
  </si>
  <si>
    <t>2 placas de regulamentação por passagem molhada (ida + volta)</t>
  </si>
  <si>
    <t>PROJETO EXECUTIVO</t>
  </si>
  <si>
    <t>5.1</t>
  </si>
  <si>
    <t>Elaboração de Projeto Executivo</t>
  </si>
  <si>
    <t>6,00 m de largura * 40,00 m de comprimento = 240,00 m²</t>
  </si>
  <si>
    <t>ÁREA TOTAL MÉDIA DA PASSAGEM MOLHADA (M²)</t>
  </si>
  <si>
    <t>PREÇO MÉDIO UNITÁRIO DA PASSAGEM MOLHADA (R$/M²)</t>
  </si>
  <si>
    <t>CRONOGRAMA DE EXECUÇÃO FÍSICO-FINANCEIRA</t>
  </si>
  <si>
    <t>VALOR TOTAL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</si>
  <si>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</si>
  <si>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</si>
  <si>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</si>
  <si>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</si>
  <si>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</si>
  <si>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</si>
  <si>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</si>
  <si>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</si>
  <si>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</si>
  <si>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</si>
  <si>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</si>
  <si>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</si>
  <si>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</si>
  <si>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>EXECUÇÃO DA PASSAGEM MOLHADA</t>
  </si>
  <si>
    <t>TOTAL GERAL</t>
  </si>
  <si>
    <t>TOTAL A SER EXECUTADO NO MÊS</t>
  </si>
  <si>
    <t>PERCENTUAL DE EXECUÇÃO NO MÊS</t>
  </si>
  <si>
    <t>TOTAL ACUMULADO</t>
  </si>
  <si>
    <t>PERCENTUAL DE EXECUÇÃO ACUMULADO</t>
  </si>
  <si>
    <t>MINISTÉRIO DA INTEGRAÇÃO E DO DESENVOLVIMENTO REGIONAL</t>
  </si>
  <si>
    <t>COMPANHIA DE DESENVOLVIMENTO DOS VALES DO SÃO FRANCISCO E DO PARNAÍBA</t>
  </si>
  <si>
    <t>2ª SUPERINTENDÊNCIA REGIONAL - GERÊNCIA REGIONAL DE INFRAESTRUTURA</t>
  </si>
  <si>
    <t>PLANILHA COMPOSIÇÕES DE PREÇOS - ADMINISTRAÇÃO LOCAL E PLACA DE OBRAS</t>
  </si>
  <si>
    <t>ENCARGOS SOCIAIS HORISTAS (%):</t>
  </si>
  <si>
    <t>NÃO DESONERADO</t>
  </si>
  <si>
    <t>CPU-01</t>
  </si>
  <si>
    <t>SEM</t>
  </si>
  <si>
    <t>ADMINISTRAÇÃO LOCAL</t>
  </si>
  <si>
    <t>QUANTITATIVO</t>
  </si>
  <si>
    <t>CUSTO UNITÁRIO</t>
  </si>
  <si>
    <t>TOTAL (R$)</t>
  </si>
  <si>
    <t>COMPOSIÇÃO</t>
  </si>
  <si>
    <t>SINAPI BA</t>
  </si>
  <si>
    <t>CUSTO total:</t>
  </si>
  <si>
    <t>CPU-02</t>
  </si>
  <si>
    <t>PLACA DE OBRA EM CHAPA DE AÇO GALVANIZADO</t>
  </si>
  <si>
    <t>M²</t>
  </si>
  <si>
    <t>INSUMO</t>
  </si>
  <si>
    <t>MEIO-FIO DE CONCRETO - MFC 04 - AREIA E BRITA COMERCIAIS - FÔRMA DE MADEIRA.</t>
  </si>
  <si>
    <t>M</t>
  </si>
  <si>
    <t>SICRO BA</t>
  </si>
  <si>
    <t>SINAPI 98577</t>
  </si>
  <si>
    <t>TRATAMENTO DE JUNTA SERRADA, COM TARUGO DE POLIETILENO E SELANTE À BASE DE SILICONE</t>
  </si>
  <si>
    <t>COMPOSIÇÕES DE CUSTOS DO ORSE (JULHO/2024)</t>
  </si>
  <si>
    <t>SERVIÇOS GEOTÉCNICOS</t>
  </si>
  <si>
    <t>NOME DA EMPRESA:</t>
  </si>
  <si>
    <t>CPU - 03</t>
  </si>
  <si>
    <t>PROJETO:</t>
  </si>
  <si>
    <t>CONTRATANTE:</t>
  </si>
  <si>
    <t>EDITAL:</t>
  </si>
  <si>
    <t>Codevasf (2ª SR)</t>
  </si>
  <si>
    <t>Código</t>
  </si>
  <si>
    <t>Ensaios</t>
  </si>
  <si>
    <t>Qde</t>
  </si>
  <si>
    <t>Custo Unitário (R$)</t>
  </si>
  <si>
    <t>Custo Total (R$)</t>
  </si>
  <si>
    <t>CUSTO TOTAL DOS SERVIÇOS GEOTÉCNICOS:</t>
  </si>
  <si>
    <t xml:space="preserve"> MINISTÉRIO DA INTEGRAÇÃO E DO DESENVOLVIMENTO REGIONAL</t>
  </si>
  <si>
    <t xml:space="preserve"> COMPANHIA DE DESENVOLVIMENTO DOS VALES DO SÃO FRANCISCO E DO PARNAÍBA</t>
  </si>
  <si>
    <t>2ª SUPERINTENDÊNCIA REGIONAL - GERÊNCIA DE INFRAESTRUTURA</t>
  </si>
  <si>
    <t>CGCIT</t>
  </si>
  <si>
    <t>DNIT</t>
  </si>
  <si>
    <t>SISTEMA DE CUSTOS REFERENCIAIS DE OBRAS - SICRO</t>
  </si>
  <si>
    <t>Bahia</t>
  </si>
  <si>
    <t>Custo Unitário de Referência</t>
  </si>
  <si>
    <t xml:space="preserve">Produção da equipe </t>
  </si>
  <si>
    <t xml:space="preserve">SICRO 1506055 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</si>
  <si>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</si>
  <si>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</si>
  <si>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</si>
  <si>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</si>
  <si>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</si>
  <si>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</si>
  <si>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</si>
  <si>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</si>
  <si>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</si>
  <si>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</si>
  <si>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</si>
  <si>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Custo horário total de equipamentos</t>
  </si>
  <si>
    <t>B - MÃO DE OBRA</t>
  </si>
  <si>
    <t>Unidade</t>
  </si>
  <si>
    <t>Custo Horário Total</t>
  </si>
  <si>
    <t>h</t>
  </si>
  <si>
    <t>Custo horário total de mão de obra</t>
  </si>
  <si>
    <t>Custo horário total de execução</t>
  </si>
  <si>
    <t>Custo unitário de execução</t>
  </si>
  <si>
    <t>Custo do FIC</t>
  </si>
  <si>
    <t>-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</si>
  <si>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</si>
  <si>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</si>
  <si>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</si>
  <si>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</si>
  <si>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</si>
  <si>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</si>
  <si>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Custo total de atividades auxiliares</t>
  </si>
  <si>
    <t>Subtotal</t>
  </si>
  <si>
    <t>E - TEMPO FIXO</t>
  </si>
  <si>
    <t>t</t>
  </si>
  <si>
    <t>Custo unitário total de tempo fixo</t>
  </si>
  <si>
    <t>F - MOMENTO DE TRANSPORTE</t>
  </si>
  <si>
    <t>DMT</t>
  </si>
  <si>
    <t>LN</t>
  </si>
  <si>
    <t>RP</t>
  </si>
  <si>
    <t>P</t>
  </si>
  <si>
    <t>M1097</t>
  </si>
  <si>
    <t>tkm</t>
  </si>
  <si>
    <t>5914359</t>
  </si>
  <si>
    <t>5914374</t>
  </si>
  <si>
    <t>5914389</t>
  </si>
  <si>
    <t>Custo unitário total de transporte</t>
  </si>
  <si>
    <t>Custo unitário direto total</t>
  </si>
  <si>
    <t>FIC</t>
  </si>
  <si>
    <t xml:space="preserve">SICRO 2003869 </t>
  </si>
  <si>
    <t>M2187</t>
  </si>
  <si>
    <t>Tubo de concreto armado PA1 - D = 0,50 m - Guindauto 20 t.m</t>
  </si>
  <si>
    <t>5914584</t>
  </si>
  <si>
    <t>5914599</t>
  </si>
  <si>
    <t>5914614</t>
  </si>
  <si>
    <t xml:space="preserve">SICRO 5502985 </t>
  </si>
  <si>
    <r>
      <rPr>
        <b/>
        <sz val="9"/>
        <color rgb="FF000000"/>
        <rFont val="Arial"/>
        <charset val="134"/>
      </rPr>
      <t>Obs.:</t>
    </r>
    <r>
      <rPr>
        <sz val="9"/>
        <color rgb="FF000000"/>
        <rFont val="Arial"/>
        <charset val="134"/>
      </rPr>
      <t xml:space="preserve"> considerou-se o rendimento da retroescavadeira de 58 kw correspondente a 65% do rendimento do trator sobre esteiras com lâmina de 127 kw.</t>
    </r>
  </si>
  <si>
    <t xml:space="preserve">SICRO 4815671 </t>
  </si>
  <si>
    <t xml:space="preserve">SICRO 4805754 </t>
  </si>
  <si>
    <t>Compactação manual com soquete vibratório</t>
  </si>
  <si>
    <t>SICRO 4015612</t>
  </si>
  <si>
    <t>Execução de revestimento primário com material de jazida</t>
  </si>
  <si>
    <t>5914354</t>
  </si>
  <si>
    <t>4016096</t>
  </si>
  <si>
    <t>Escavação e carga de material de jazida com escavadeira hidráulica de 1,56 m³ - Caminhão basculante 10 m³</t>
  </si>
  <si>
    <t>SICRO 4016096</t>
  </si>
  <si>
    <t xml:space="preserve">SICRO 5501706 </t>
  </si>
  <si>
    <t>SICRO 5901639</t>
  </si>
  <si>
    <t>SICRO 5914639</t>
  </si>
  <si>
    <t>Transporte com cavalo mecânico com semirreboque com capacidade de 30 t - rodovia em revestimento primário</t>
  </si>
  <si>
    <t>SICRO 5914640</t>
  </si>
  <si>
    <t>Transporte com cavalo mecânico com semirreboque com capacidade de 30 t - rodovia pavimentada</t>
  </si>
  <si>
    <t xml:space="preserve">SICRO 4011209 </t>
  </si>
  <si>
    <t>Regularização do subleito</t>
  </si>
  <si>
    <t>un</t>
  </si>
  <si>
    <t xml:space="preserve">SICRO 5213440 </t>
  </si>
  <si>
    <t xml:space="preserve">SICRO 5213863 </t>
  </si>
  <si>
    <t>Conjunto para fixação de placas em aço galvanizado composto por barra chata, abraçadeira, parafusos, porcas e arruelas - Caminhão carroceria 15 t</t>
  </si>
  <si>
    <t>5914449</t>
  </si>
  <si>
    <t>5914464</t>
  </si>
  <si>
    <t>5914479</t>
  </si>
  <si>
    <t>Suporte em aço-carbono galvanizado tipo perfil C para placa de sinalização - Caminhão carroceria 15 t</t>
  </si>
  <si>
    <t>COMPOSIÇÃO DE CUSTOS DO PROJETO EXECUTIVO (POR M²)</t>
  </si>
  <si>
    <t>CPU - 05</t>
  </si>
  <si>
    <t>DISCRIMINAÇAO</t>
  </si>
  <si>
    <t>Pr. Unit.</t>
  </si>
  <si>
    <t>Pr. Total</t>
  </si>
  <si>
    <t>A· EQUIPE TÉCNICA</t>
  </si>
  <si>
    <t>A.1</t>
  </si>
  <si>
    <t>Pessoal de Nível Superior</t>
  </si>
  <si>
    <t>Quantitativo</t>
  </si>
  <si>
    <t>A.1.1</t>
  </si>
  <si>
    <t>A.1.2</t>
  </si>
  <si>
    <t>A.2</t>
  </si>
  <si>
    <t>Pessoal de Nível Técnico e Aux.</t>
  </si>
  <si>
    <t>A.2.1</t>
  </si>
  <si>
    <t>A.2.2</t>
  </si>
  <si>
    <t>B - ENCARGOS SOCIAIS</t>
  </si>
  <si>
    <t>B.1</t>
  </si>
  <si>
    <t>JÁ INCLUSAS EM "A"</t>
  </si>
  <si>
    <t>C - DESPESAS GERAIS</t>
  </si>
  <si>
    <t>C.1</t>
  </si>
  <si>
    <t>MATERIAIS DE CONSUMO</t>
  </si>
  <si>
    <t>Estimativa % como referência de equipe técnica com encargos sociais</t>
  </si>
  <si>
    <t>C.2</t>
  </si>
  <si>
    <t>C.3</t>
  </si>
  <si>
    <t>C.4</t>
  </si>
  <si>
    <t>I - SOMA (A+B+C)</t>
  </si>
  <si>
    <t>II - CUSTOS ADMINISTRATIVOS</t>
  </si>
  <si>
    <t>II - SOMA</t>
  </si>
  <si>
    <t>VI - RELATÓRIOS</t>
  </si>
  <si>
    <t>Estimativa % como referência soma II</t>
  </si>
  <si>
    <t>V - DESPESAS DIRETAS (3,74%)</t>
  </si>
  <si>
    <t>Percentual VI</t>
  </si>
  <si>
    <t>VI - REMUNERAÇAO DA EMPRESA</t>
  </si>
  <si>
    <t>Taxas 4,75%</t>
  </si>
  <si>
    <t>VII - CONTIGÊNCIAS</t>
  </si>
  <si>
    <t>VIII - SOMA</t>
  </si>
  <si>
    <t>IX - CUSTOS ADMINISTRATIVOS</t>
  </si>
  <si>
    <t>III - SOMA</t>
  </si>
  <si>
    <t>X - TOTAL</t>
  </si>
  <si>
    <t>Custo por m²:</t>
  </si>
  <si>
    <t>ESPECIFICAÇÃO DO ITEM DA COMPOSIÇÃO - SICRO (NÃO DESONERADO)</t>
  </si>
  <si>
    <t>FONTE</t>
  </si>
  <si>
    <t>UNIDADE</t>
  </si>
  <si>
    <t>VALOR UNITÁRIO PRODUTIVO</t>
  </si>
  <si>
    <t>VALOR UNITÁRIO IMPRODUTIVO</t>
  </si>
  <si>
    <t>Argamassa de cimento e areia 1:3 - confecção em betoneira e lançamento manual - areia comercial</t>
  </si>
  <si>
    <t xml:space="preserve">SICRO </t>
  </si>
  <si>
    <t>M³</t>
  </si>
  <si>
    <t>Armação em aço CA-50 - fornecimento, preparo e colocação</t>
  </si>
  <si>
    <t>KG</t>
  </si>
  <si>
    <t>Caminhão basculante com caçamba estanque com capacidade de 14 m³ - 188 kW</t>
  </si>
  <si>
    <t>E9575</t>
  </si>
  <si>
    <t>H</t>
  </si>
  <si>
    <t>Caminhão basculante com capacidade de 14 m³ - 188 Kw</t>
  </si>
  <si>
    <t>E9667</t>
  </si>
  <si>
    <t>Caminhão carroceria com capacidade de 5 t - 115 Kw</t>
  </si>
  <si>
    <t>E9687</t>
  </si>
  <si>
    <t>Caminhão carroceria com guindauto com capacidade de 20 t.m - 136 kW</t>
  </si>
  <si>
    <t>E9686</t>
  </si>
  <si>
    <t>Caminhão tanque com capacidade de 10.000 l - 188 kW</t>
  </si>
  <si>
    <t>E9571</t>
  </si>
  <si>
    <t>Cavalo mecânico com semirreboque com capacidade de 30 t - 265 kW</t>
  </si>
  <si>
    <t>E9666</t>
  </si>
  <si>
    <t>Compactador manual com soquete vibratório - 4,10 Kw</t>
  </si>
  <si>
    <t>E9647</t>
  </si>
  <si>
    <t>Concreto fck = 20 Mpa - confecção em betoneira e lançamento manual - areia e brita comerciais</t>
  </si>
  <si>
    <t>Conjunto para fixação de placas em aço galvanizado composto por barra chata, abraçadeira, parafusos, porcas e arruelas</t>
  </si>
  <si>
    <t>M0789</t>
  </si>
  <si>
    <t>T</t>
  </si>
  <si>
    <t>Escavação manual em material de 1ª categoria na profundidade de até 1 m</t>
  </si>
  <si>
    <t>Escavadeira hidráulica sobre esteiras com caçamba com capacidade de 1,56 m³ - 118 Kw</t>
  </si>
  <si>
    <t>E9515</t>
  </si>
  <si>
    <t>Fôrmas de tábuas de pinho para dispositivos de drenagem - utilização de 3 vezes - confecção, instalação e retirada</t>
  </si>
  <si>
    <t>Grade de 24 discos rebocável de D = 60 cm (24")</t>
  </si>
  <si>
    <t>E9518</t>
  </si>
  <si>
    <t>Montador</t>
  </si>
  <si>
    <t>P9830</t>
  </si>
  <si>
    <t>Motoniveladora - 93 kW</t>
  </si>
  <si>
    <t>E9524</t>
  </si>
  <si>
    <t>Pedra de mão ou rachão</t>
  </si>
  <si>
    <t>Pedra de mão ou rachão - Caminhão basculante 10 m³</t>
  </si>
  <si>
    <t>Placa de regulamentação em fibra, D = 0,60 m - película retrorrefletiva tipo I + SI - fornecimento e implantação</t>
  </si>
  <si>
    <t>Retroescavadeira de pneus com capacidade de 0,76 m³ - 58 Kw</t>
  </si>
  <si>
    <t>E9526</t>
  </si>
  <si>
    <t>Rolo compactador de pneus autopropelido de 27 t - 85 kW</t>
  </si>
  <si>
    <t>E9762</t>
  </si>
  <si>
    <t>Rolo compactador pé de carneiro vibratório autopropelido por pneus de 11,6 t - 82 kW</t>
  </si>
  <si>
    <t>E9685</t>
  </si>
  <si>
    <t>Suporte em aço-carbono galvanizado tipo perfil C para placa de sinalização</t>
  </si>
  <si>
    <t>M0787</t>
  </si>
  <si>
    <t>Trator agrícola sobre pneus - 77 kW</t>
  </si>
  <si>
    <t>E9577</t>
  </si>
  <si>
    <t>Tubo de concreto armado PA1 - D = 0,50 m</t>
  </si>
  <si>
    <t>ESPECIFICAÇÃO DO ITEM DA COMPOSIÇÃO - SINAPI (NÃO DESONERADO)</t>
  </si>
  <si>
    <t>VALOR UNITÁRIO</t>
  </si>
  <si>
    <t>AREIA MEDIA - POSTO JAZIDA/FORNECEDOR (RETIRADO NA JAZIDA, SEM TRANSPORTE)</t>
  </si>
  <si>
    <t xml:space="preserve">SINAPI </t>
  </si>
  <si>
    <t>AUXILIAR DE TOPÓGRAFO COM ENCARGOS COMPLEMENTARES</t>
  </si>
  <si>
    <t>BETONEIRA CAPACIDADE NOMINAL 400 L, CAPACIDADE DE MISTURA 310 L, MOTOR A DIESEL POTÊNCIA 5,0 HP, SEM CARREGADOR - CHP DIURNO. AF_06/2014</t>
  </si>
  <si>
    <t>CAMINHONETE CABINE SIMPLES COM MOTOR 1.6 FLEX, CÂMBIO MANUAL, POTÊNCIA 101/104 CV, 2 PORTAS</t>
  </si>
  <si>
    <t>CARPINTEIRO DE FORMAS COM ENCARGOS COMPLEMENTARES</t>
  </si>
  <si>
    <t xml:space="preserve">CIMENTO PORTLAND COMPOSTO CP II-32 </t>
  </si>
  <si>
    <t>DESENHISTA PROJETISTA (HORISTA)</t>
  </si>
  <si>
    <t>ENCARREGADO GERAL COM ENCARGOS COMPLEMENTARES</t>
  </si>
  <si>
    <t>ENGENHEIRO CIVIL DE OBRA JUNIOR COM ENCARGOS COMPLEMENTARES</t>
  </si>
  <si>
    <t>ENGENHEIRO CIVIL PLENO COM ENCARGOS COMPLEMENTARES</t>
  </si>
  <si>
    <t>GASOLINA COMUM</t>
  </si>
  <si>
    <t>L</t>
  </si>
  <si>
    <t>LOCAÇÃO CONVENCIONAL DE OBRA, UTILIZANDO GABARITO DE TÁBUAS CORRIDAS PONTALETADAS A CADA 2,00 M - 2 UTILIZAÇÕES</t>
  </si>
  <si>
    <t>PEDRA BRITADA N. 2 (19 A 38 MM) POSTO PEDREIRA/FORNECEDOR, SEM FRETE</t>
  </si>
  <si>
    <t>PEDREIRO COM ENCARGOS COMPLEMENTARES</t>
  </si>
  <si>
    <t>PINTURA DE MEIO-FIO COM TINTA BRANCA A BASE DE CAL (CAIAÇÃO). AF_05/2021</t>
  </si>
  <si>
    <t>PLACA DE OBRA (PARA CONSTRUCAO CIVIL) EM CHAPA GALVANIZADA *N. 22*, ADESIVADA, DE *2,4 X 1,2* M (SEM POSTES PARA FIXACAO)</t>
  </si>
  <si>
    <t>PONTALETE *7,5 X 7,5* CM EM PINUS, MISTA OU EQUIVALENTE DA REGIAO - BRUTA</t>
  </si>
  <si>
    <t>PREGO DE ACO POLIDO COM CABECA 18 X 30 (2 3/4 X 10)</t>
  </si>
  <si>
    <t>SARRAFO NAO APARELHADO *2,5 X 7* CM, EM MACARANDUBA, ANGELIM OU EQUIVALENTE DA REGIAO - BRUTA</t>
  </si>
  <si>
    <t>SELANTE MONOCOMPONENTE A BASE DE SILICONE DE BAIXO MÓDULO, PARA JUNTAS DE PAVIMENTAÇÃO</t>
  </si>
  <si>
    <t>SERVENTE COM ENCARGOS COMPLEMENTARES</t>
  </si>
  <si>
    <t>TARUGO DELIMITADOR DE PROFUNDIDADE EM ESPUMA DE POLIETILENO DE BAIXA DENSIDADE 10 MM, CINZA</t>
  </si>
  <si>
    <t>TOPÓGRAFO COM ENCARGOS COMPLEMENTARES</t>
  </si>
  <si>
    <t>ESPECIFICAÇÃO DO ITEM DA COMPOSIÇÃO - ORSE (NÃO DESONERADO)</t>
  </si>
  <si>
    <t>Barracão de Obras de Médio Porte Reaproveitamento 2 vezes</t>
  </si>
  <si>
    <t>05088/ORSE</t>
  </si>
  <si>
    <t>Ensaio - Limite de Liquidez</t>
  </si>
  <si>
    <t>04683/ORSE</t>
  </si>
  <si>
    <t>Ensaio - Limite de Plasticidade</t>
  </si>
  <si>
    <t>04684/ORSE</t>
  </si>
  <si>
    <t>Ensaio - Granulometria por Peneiramento</t>
  </si>
  <si>
    <t>04682/ORSE</t>
  </si>
  <si>
    <t>Ensaio - Compactação Proctor Normal com reuso de material (6 pontos)</t>
  </si>
  <si>
    <t>4685/ORSE</t>
  </si>
  <si>
    <t>Ensaio - Índice de Suporte Califórnia - CBR</t>
  </si>
  <si>
    <t>6720/ORSE</t>
  </si>
  <si>
    <t>Estação total eletrônica com alcance máximo de 3.000 m - SICRO</t>
  </si>
  <si>
    <t>14094/ORSE</t>
  </si>
  <si>
    <t>CHP</t>
  </si>
  <si>
    <t>Forma plana para estruturas, em compensado plastificado de 12 mm, 12 usos, inclusive escoramento - Revisada 07.2015</t>
  </si>
  <si>
    <t>3739/ORSE</t>
  </si>
  <si>
    <t xml:space="preserve">                                                                                 MINISTÉRIO DA INTEGRAÇÃO E DO DESENVOLVIMENTO REGIONAL - M. I. D. R.</t>
  </si>
  <si>
    <t xml:space="preserve">                                                                                 COMPANHIA DE DESENVOLVIMENTO DOS VALES DO SÃO FRANCISCO E DO PARNAÍBA</t>
  </si>
  <si>
    <t xml:space="preserve">                                                                                         2ª SUPERINTENDÊNCIA REGIONAL - SEDIADA EM BOM JESUS DA LAPA/BA.</t>
  </si>
  <si>
    <t xml:space="preserve">                                                                                     GERÊNCIA DE INFRAESTRUTURA -  2ª/GRD</t>
  </si>
  <si>
    <t>MEMÓRIA DE CÁLCULO DOS MOMENTOS DE TRANSPORTE PARA MOBILIZAÇÃO E DESMOBILIZAÇÃO</t>
  </si>
  <si>
    <t>Cidade de Origem:</t>
  </si>
  <si>
    <t>Cidade Pólo.</t>
  </si>
  <si>
    <t>Destino:</t>
  </si>
  <si>
    <t>Local de Execução da Obra.</t>
  </si>
  <si>
    <t>Distância Total (Pavimentada):</t>
  </si>
  <si>
    <t xml:space="preserve"> km</t>
  </si>
  <si>
    <t>Distância Total (Rev. primário):</t>
  </si>
  <si>
    <t>Peso das máquinas:</t>
  </si>
  <si>
    <t>Motoniveladora 93 KW</t>
  </si>
  <si>
    <t>ton</t>
  </si>
  <si>
    <t>Trator de pneus 77 kw com grade niveladora</t>
  </si>
  <si>
    <t>Escavadeira hidráulica 118 kw</t>
  </si>
  <si>
    <t>Rolo compactador autopropelido 27 ton</t>
  </si>
  <si>
    <t>Rolo compactador pé de carneiro</t>
  </si>
  <si>
    <t>Retroescavadeira de pneus 58 kw</t>
  </si>
  <si>
    <t>Peso dos materiais:</t>
  </si>
  <si>
    <t>Materiais</t>
  </si>
  <si>
    <t>Total</t>
  </si>
  <si>
    <t xml:space="preserve"> ton</t>
  </si>
  <si>
    <t xml:space="preserve"> t x km</t>
  </si>
  <si>
    <t>PLANILHA DE DETALHAMENTO DO BDI</t>
  </si>
  <si>
    <t>OBJETO:</t>
  </si>
  <si>
    <t>MEMÓRIA DE CALCULO DO BDI  DOS SERVIÇOS - NÃO DESONERADO</t>
  </si>
  <si>
    <t>Obras rodoviárias</t>
  </si>
  <si>
    <t>BDI APLICADO NA OBRA (SEM RISCO, SEGURO E GARANTIA)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</si>
  <si>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</si>
  <si>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</si>
  <si>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</si>
  <si>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</si>
  <si>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</si>
  <si>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</si>
  <si>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</si>
  <si>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</si>
  <si>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</si>
  <si>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</si>
  <si>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</si>
  <si>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</si>
  <si>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</si>
  <si>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</si>
  <si>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</si>
  <si>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</si>
  <si>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</si>
  <si>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</si>
  <si>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</si>
  <si>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</si>
  <si>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</si>
  <si>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</si>
  <si>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</si>
  <si>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</si>
  <si>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</si>
  <si>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</si>
  <si>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</si>
  <si>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</si>
  <si>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</si>
  <si>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</si>
  <si>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</si>
  <si>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</si>
  <si>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</si>
  <si>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</si>
  <si>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</si>
  <si>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</si>
  <si>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</si>
  <si>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</si>
  <si>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</si>
  <si>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</si>
  <si>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MINISTÉRIO DA INTEGRAÇÃO E DO DESENVOLVIMENTO REGIONAL - MIDR</t>
  </si>
  <si>
    <t>2ª SUPERINTENDÊNCIA REGIONAL - BOM JESUS DA LAPA/BA.</t>
  </si>
  <si>
    <t>DETALHAMENTO DE ENCARGOS SOCIAIS - HORISTAS E MENSALISTAS (SEM DESONERAÇÃO)</t>
  </si>
  <si>
    <t>DISCRIMINAÇÃO</t>
  </si>
  <si>
    <t>HORISTA</t>
  </si>
  <si>
    <t>MENSALISTA</t>
  </si>
  <si>
    <t>A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</si>
  <si>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</si>
  <si>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</si>
  <si>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</si>
  <si>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</si>
  <si>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</si>
  <si>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</si>
  <si>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</si>
  <si>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</si>
  <si>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</si>
  <si>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</si>
  <si>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</si>
  <si>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</si>
  <si>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</si>
  <si>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</si>
  <si>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SECONCI</t>
  </si>
  <si>
    <t>SUBTOTAL DE “A”:</t>
  </si>
  <si>
    <t>B</t>
  </si>
  <si>
    <t>ENCARGOS SOCIAIS QUE RECEBEM INCIDÊNCIA DE “A”</t>
  </si>
  <si>
    <t>B1</t>
  </si>
  <si>
    <t>Repouso Semanal Remunerado</t>
  </si>
  <si>
    <t>Não incide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</si>
  <si>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</si>
  <si>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</si>
  <si>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</si>
  <si>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</si>
  <si>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</si>
  <si>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</si>
  <si>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</si>
  <si>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</si>
  <si>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</si>
  <si>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</si>
  <si>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</si>
  <si>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</si>
  <si>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</si>
  <si>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</si>
  <si>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</si>
  <si>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</si>
  <si>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</si>
  <si>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</si>
  <si>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SUBTOTAL DE “B”:</t>
  </si>
  <si>
    <t>C</t>
  </si>
  <si>
    <t>ENCARGOS SOCIAIS QUE NÃO RECEBEM INCIDÊNCIA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</si>
  <si>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</si>
  <si>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</si>
  <si>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</si>
  <si>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</si>
  <si>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</si>
  <si>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</si>
  <si>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</si>
  <si>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</si>
  <si>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</si>
  <si>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</si>
  <si>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“C”:</t>
  </si>
  <si>
    <t>D</t>
  </si>
  <si>
    <t>REINCIDÊNCIAS DE UM GRUPO SOBRE O OUTRO</t>
  </si>
  <si>
    <t>D1</t>
  </si>
  <si>
    <t>Reincidência de “A” sobre “B”</t>
  </si>
  <si>
    <t>D2</t>
  </si>
  <si>
    <t>Reincidência de Grupo A sobre Aviso Prévio Trabalhado e Reincidência do FGTS sobre Aviso Prévio Indenizado</t>
  </si>
  <si>
    <t>SUBTOTAL DE “D”:</t>
  </si>
  <si>
    <t>TOTAIS DE ENCARGOS SOCIAIS (%):</t>
  </si>
  <si>
    <t>INCC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</si>
</sst>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-&quot;R$ &quot;* #,##0.00_-;&quot;-R$ &quot;* #,##0.00_-;_-&quot;R$ &quot;* \-??_-;_-@_-"/>
    <numFmt numFmtId="166" formatCode="_(* #,##0.00_);_(* \(#,##0.00\);_(* \-??_);_(@_)"/>
    <numFmt numFmtId="167" formatCode="_(* #,##0.00_);_(* \(#,##0.00\);_(* &quot;-&quot;??_);_(@_)"/>
    <numFmt numFmtId="168" formatCode="_-* #,##0.00_-;\-* #,##0.00_-;_-* \-??_-;_-@_-"/>
    <numFmt numFmtId="169" formatCode="_-&quot;R$&quot;\ * #,##0.0000_-;\-&quot;R$&quot;\ * #,##0.0000_-;_-&quot;R$&quot;\ * &quot;-&quot;??_-;_-@_-"/>
    <numFmt numFmtId="170" formatCode="&quot;R$&quot;\ #,##0.00"/>
    <numFmt numFmtId="171" formatCode="#,##0.00000"/>
    <numFmt numFmtId="172" formatCode="#,##0.0000"/>
    <numFmt numFmtId="173" formatCode="#,##0.0"/>
    <numFmt numFmtId="174" formatCode="0.0000"/>
    <numFmt numFmtId="175" formatCode="0.0000000"/>
    <numFmt numFmtId="176" formatCode="0.0%"/>
    <numFmt numFmtId="177" formatCode="&quot;R$&quot;\ #,##0.0000"/>
    <numFmt numFmtId="178" formatCode="0.000000000"/>
    <numFmt numFmtId="179" formatCode="0.00_);[Red]\(0.00\)"/>
  </numFmts>
  <fonts count="42">
    <font>
      <sz val="10"/>
      <name val="Arial"/>
      <charset val="134"/>
    </font>
    <font>
      <b/>
      <sz val="8"/>
      <name val="Arial"/>
      <charset val="134"/>
    </font>
    <font>
      <sz val="10"/>
      <name val="Arial"/>
      <charset val="134"/>
    </font>
    <font>
      <b/>
      <sz val="9"/>
      <name val="Arial"/>
      <charset val="134"/>
    </font>
    <font>
      <b/>
      <sz val="10"/>
      <name val="Arial"/>
      <charset val="134"/>
    </font>
    <font>
      <b/>
      <sz val="11"/>
      <name val="Arial"/>
      <charset val="134"/>
    </font>
    <font>
      <sz val="11"/>
      <name val="Arial"/>
      <charset val="134"/>
    </font>
    <font>
      <b/>
      <sz val="16"/>
      <name val="Arial"/>
      <charset val="134"/>
    </font>
    <font>
      <b/>
      <sz val="12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b/>
      <strike/>
      <sz val="10"/>
      <name val="Arial"/>
      <charset val="134"/>
    </font>
    <font>
      <sz val="11"/>
      <color theme="1"/>
      <name val="Arial"/>
      <charset val="134"/>
    </font>
    <font>
      <b/>
      <sz val="12"/>
      <color indexed="8"/>
      <name val="Arial Narrow"/>
      <charset val="134"/>
    </font>
    <font>
      <b/>
      <sz val="18"/>
      <name val="Arial"/>
      <charset val="134"/>
    </font>
    <font>
      <b/>
      <sz val="9"/>
      <name val="Verdana"/>
      <charset val="134"/>
    </font>
    <font>
      <sz val="9"/>
      <name val="Verdana"/>
      <charset val="134"/>
    </font>
    <font>
      <sz val="11"/>
      <color rgb="FF000000"/>
      <name val="Arial"/>
      <charset val="134"/>
    </font>
    <font>
      <b/>
      <sz val="11"/>
      <color theme="1"/>
      <name val="Arial"/>
      <charset val="134"/>
    </font>
    <font>
      <b/>
      <sz val="11"/>
      <color rgb="FF000000"/>
      <name val="Arial"/>
      <charset val="134"/>
    </font>
    <font>
      <b/>
      <sz val="12"/>
      <color rgb="FF000000"/>
      <name val="Arial"/>
      <charset val="134"/>
    </font>
    <font>
      <i/>
      <sz val="14"/>
      <color rgb="FF003770"/>
      <name val="Arial"/>
      <charset val="134"/>
    </font>
    <font>
      <b/>
      <sz val="14"/>
      <color rgb="FF000000"/>
      <name val="Arial"/>
      <charset val="134"/>
    </font>
    <font>
      <b/>
      <i/>
      <sz val="12"/>
      <color rgb="FF000000"/>
      <name val="Arial"/>
      <charset val="134"/>
    </font>
    <font>
      <sz val="9"/>
      <color rgb="FF000000"/>
      <name val="Arial"/>
      <charset val="134"/>
    </font>
    <font>
      <sz val="8"/>
      <name val="Arial"/>
      <charset val="134"/>
    </font>
    <font>
      <b/>
      <sz val="18"/>
      <color indexed="8"/>
      <name val="Arial"/>
      <charset val="134"/>
    </font>
    <font>
      <b/>
      <sz val="12"/>
      <color indexed="8"/>
      <name val="Arial"/>
      <charset val="134"/>
    </font>
    <font>
      <sz val="8"/>
      <color indexed="8"/>
      <name val="Arial"/>
      <charset val="134"/>
    </font>
    <font>
      <b/>
      <sz val="10"/>
      <color indexed="8"/>
      <name val="Arial"/>
      <charset val="134"/>
    </font>
    <font>
      <sz val="10"/>
      <color indexed="8"/>
      <name val="Arial"/>
      <charset val="134"/>
    </font>
    <font>
      <sz val="14"/>
      <name val="Arial"/>
      <charset val="134"/>
    </font>
    <font>
      <b/>
      <sz val="14"/>
      <color indexed="8"/>
      <name val="Arial"/>
      <charset val="134"/>
    </font>
    <font>
      <sz val="10"/>
      <color rgb="FFFF0000"/>
      <name val="Arial"/>
      <charset val="134"/>
    </font>
    <font>
      <b/>
      <sz val="8"/>
      <color indexed="8"/>
      <name val="Arial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1"/>
      <color indexed="8"/>
      <name val="Calibri"/>
      <charset val="134"/>
    </font>
    <font>
      <sz val="11"/>
      <color rgb="FF000000"/>
      <name val="Calibri"/>
      <charset val="134"/>
    </font>
    <font>
      <sz val="11"/>
      <color rgb="FF000000"/>
      <name val="Calibri"/>
      <charset val="1"/>
    </font>
    <font>
      <sz val="11"/>
      <color theme="1"/>
      <name val="Calibri"/>
      <charset val="134"/>
      <scheme val="minor"/>
    </font>
    <font>
      <b/>
      <sz val="9"/>
      <color rgb="FF000000"/>
      <name val="Arial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DAE3F3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rgb="FFA6A6A6"/>
        <bgColor rgb="FFA5A5A5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theme="5" tint="0.39985351115451523"/>
        <bgColor indexed="64"/>
      </patternFill>
    </fill>
    <fill>
      <patternFill patternType="solid">
        <fgColor theme="0" tint="-0.249977111117893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1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38" fillId="0" borderId="0" applyBorder="0" applyProtection="0"/>
    <xf numFmtId="165" fontId="39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6" fillId="0" borderId="0"/>
    <xf numFmtId="0" fontId="38" fillId="0" borderId="0"/>
    <xf numFmtId="0" fontId="40" fillId="0" borderId="0"/>
    <xf numFmtId="0" fontId="39" fillId="0" borderId="0"/>
    <xf numFmtId="0" fontId="39" fillId="0" borderId="0"/>
    <xf numFmtId="0" fontId="38" fillId="0" borderId="0"/>
    <xf numFmtId="0" fontId="2" fillId="0" borderId="0"/>
    <xf numFmtId="166" fontId="2" fillId="0" borderId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38" fillId="0" borderId="0" applyBorder="0" applyProtection="0"/>
    <xf numFmtId="43" fontId="40" fillId="0" borderId="0" applyFont="0" applyFill="0" applyBorder="0" applyAlignment="0" applyProtection="0"/>
    <xf numFmtId="168" fontId="39" fillId="0" borderId="0" applyBorder="0" applyProtection="0"/>
  </cellStyleXfs>
  <cellXfs count="799">
    <xf numFmtId="0" fontId="0" fillId="0" borderId="0" xfId="0"/>
    <xf numFmtId="0" fontId="2" fillId="0" borderId="4" xfId="0" applyFont="1" applyBorder="1"/>
    <xf numFmtId="0" fontId="2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2" borderId="6" xfId="12" applyFont="1" applyFill="1" applyBorder="1" applyAlignment="1">
      <alignment horizontal="center" vertical="center" wrapText="1"/>
    </xf>
    <xf numFmtId="0" fontId="2" fillId="0" borderId="6" xfId="12" applyBorder="1" applyAlignment="1">
      <alignment horizontal="center" vertical="center" wrapText="1"/>
    </xf>
    <xf numFmtId="0" fontId="2" fillId="0" borderId="7" xfId="12" applyBorder="1" applyAlignment="1">
      <alignment horizontal="justify" vertical="center" wrapText="1"/>
    </xf>
    <xf numFmtId="2" fontId="2" fillId="0" borderId="7" xfId="12" applyNumberFormat="1" applyBorder="1" applyAlignment="1">
      <alignment horizontal="center" vertical="center" wrapText="1"/>
    </xf>
    <xf numFmtId="2" fontId="2" fillId="0" borderId="8" xfId="12" applyNumberFormat="1" applyBorder="1" applyAlignment="1">
      <alignment horizontal="center" vertical="center" wrapText="1"/>
    </xf>
    <xf numFmtId="2" fontId="4" fillId="3" borderId="7" xfId="12" applyNumberFormat="1" applyFont="1" applyFill="1" applyBorder="1" applyAlignment="1">
      <alignment horizontal="center" vertical="center" wrapText="1"/>
    </xf>
    <xf numFmtId="2" fontId="4" fillId="3" borderId="8" xfId="12" applyNumberFormat="1" applyFont="1" applyFill="1" applyBorder="1" applyAlignment="1">
      <alignment horizontal="center" vertical="center" wrapText="1"/>
    </xf>
    <xf numFmtId="0" fontId="4" fillId="4" borderId="6" xfId="12" applyFont="1" applyFill="1" applyBorder="1" applyAlignment="1">
      <alignment horizontal="center" vertical="center" wrapText="1"/>
    </xf>
    <xf numFmtId="0" fontId="2" fillId="0" borderId="8" xfId="12" applyBorder="1" applyAlignment="1">
      <alignment horizontal="center" vertical="center" wrapText="1"/>
    </xf>
    <xf numFmtId="0" fontId="4" fillId="3" borderId="8" xfId="12" applyFont="1" applyFill="1" applyBorder="1" applyAlignment="1">
      <alignment horizontal="center" vertical="center" wrapText="1"/>
    </xf>
    <xf numFmtId="2" fontId="5" fillId="4" borderId="10" xfId="2" applyNumberFormat="1" applyFont="1" applyFill="1" applyBorder="1" applyAlignment="1">
      <alignment horizontal="center" vertical="center" wrapText="1"/>
    </xf>
    <xf numFmtId="2" fontId="5" fillId="4" borderId="11" xfId="2" applyNumberFormat="1" applyFont="1" applyFill="1" applyBorder="1" applyAlignment="1">
      <alignment horizontal="center" vertical="center" wrapText="1"/>
    </xf>
    <xf numFmtId="0" fontId="6" fillId="0" borderId="0" xfId="16"/>
    <xf numFmtId="0" fontId="8" fillId="2" borderId="14" xfId="9" applyFont="1" applyFill="1" applyBorder="1" applyAlignment="1">
      <alignment vertical="center"/>
    </xf>
    <xf numFmtId="0" fontId="8" fillId="0" borderId="4" xfId="9" applyFont="1" applyBorder="1" applyAlignment="1">
      <alignment vertical="center" wrapText="1"/>
    </xf>
    <xf numFmtId="49" fontId="5" fillId="5" borderId="4" xfId="18" applyNumberFormat="1" applyFont="1" applyFill="1" applyBorder="1" applyAlignment="1">
      <alignment horizontal="center" vertical="center"/>
    </xf>
    <xf numFmtId="49" fontId="5" fillId="5" borderId="0" xfId="18" applyNumberFormat="1" applyFont="1" applyFill="1" applyAlignment="1">
      <alignment horizontal="center" vertical="center"/>
    </xf>
    <xf numFmtId="0" fontId="6" fillId="0" borderId="0" xfId="18" applyFont="1"/>
    <xf numFmtId="0" fontId="3" fillId="5" borderId="0" xfId="18" applyFont="1" applyFill="1" applyAlignment="1">
      <alignment horizontal="center" vertical="center"/>
    </xf>
    <xf numFmtId="0" fontId="3" fillId="0" borderId="9" xfId="18" applyFont="1" applyBorder="1" applyAlignment="1">
      <alignment horizontal="center" vertical="center"/>
    </xf>
    <xf numFmtId="0" fontId="2" fillId="0" borderId="0" xfId="18" applyFont="1" applyAlignment="1">
      <alignment vertical="center"/>
    </xf>
    <xf numFmtId="167" fontId="4" fillId="6" borderId="27" xfId="18" applyNumberFormat="1" applyFont="1" applyFill="1" applyBorder="1" applyAlignment="1">
      <alignment horizontal="center" vertical="center" wrapText="1"/>
    </xf>
    <xf numFmtId="0" fontId="4" fillId="0" borderId="0" xfId="18" applyFont="1" applyAlignment="1">
      <alignment horizontal="justify" vertical="center" wrapText="1"/>
    </xf>
    <xf numFmtId="0" fontId="4" fillId="0" borderId="27" xfId="18" applyFont="1" applyBorder="1" applyAlignment="1">
      <alignment horizontal="justify" vertical="center" wrapText="1"/>
    </xf>
    <xf numFmtId="0" fontId="2" fillId="0" borderId="6" xfId="18" applyFont="1" applyBorder="1" applyAlignment="1">
      <alignment horizontal="center" vertical="center"/>
    </xf>
    <xf numFmtId="0" fontId="2" fillId="0" borderId="7" xfId="18" applyFont="1" applyBorder="1" applyAlignment="1">
      <alignment vertical="center"/>
    </xf>
    <xf numFmtId="10" fontId="2" fillId="5" borderId="8" xfId="29" applyNumberFormat="1" applyFont="1" applyFill="1" applyBorder="1" applyAlignment="1" applyProtection="1">
      <alignment horizontal="center" vertical="center"/>
      <protection locked="0"/>
    </xf>
    <xf numFmtId="10" fontId="2" fillId="0" borderId="0" xfId="29" applyNumberFormat="1" applyFont="1" applyBorder="1" applyAlignment="1">
      <alignment horizontal="center" vertical="center"/>
    </xf>
    <xf numFmtId="10" fontId="2" fillId="0" borderId="6" xfId="29" applyNumberFormat="1" applyFont="1" applyFill="1" applyBorder="1" applyAlignment="1" applyProtection="1">
      <alignment horizontal="center" vertical="center"/>
    </xf>
    <xf numFmtId="10" fontId="2" fillId="0" borderId="6" xfId="29" applyNumberFormat="1" applyFont="1" applyBorder="1" applyAlignment="1">
      <alignment horizontal="center" vertical="center"/>
    </xf>
    <xf numFmtId="10" fontId="4" fillId="7" borderId="11" xfId="29" applyNumberFormat="1" applyFont="1" applyFill="1" applyBorder="1" applyAlignment="1">
      <alignment horizontal="center" vertical="center"/>
    </xf>
    <xf numFmtId="10" fontId="4" fillId="0" borderId="0" xfId="29" applyNumberFormat="1" applyFont="1" applyBorder="1" applyAlignment="1">
      <alignment horizontal="center" vertical="center"/>
    </xf>
    <xf numFmtId="10" fontId="2" fillId="0" borderId="9" xfId="29" applyNumberFormat="1" applyFont="1" applyBorder="1" applyAlignment="1">
      <alignment horizontal="center" vertical="center"/>
    </xf>
    <xf numFmtId="0" fontId="2" fillId="0" borderId="0" xfId="18" applyFont="1" applyAlignment="1">
      <alignment horizontal="center" vertical="center"/>
    </xf>
    <xf numFmtId="10" fontId="2" fillId="0" borderId="27" xfId="29" applyNumberFormat="1" applyFont="1" applyBorder="1" applyAlignment="1">
      <alignment horizontal="center" vertical="center"/>
    </xf>
    <xf numFmtId="0" fontId="2" fillId="0" borderId="36" xfId="18" applyFont="1" applyBorder="1" applyAlignment="1">
      <alignment horizontal="center" vertical="center"/>
    </xf>
    <xf numFmtId="10" fontId="2" fillId="5" borderId="42" xfId="29" applyNumberFormat="1" applyFont="1" applyFill="1" applyBorder="1" applyAlignment="1" applyProtection="1">
      <alignment horizontal="center" vertical="center"/>
      <protection locked="0"/>
    </xf>
    <xf numFmtId="10" fontId="4" fillId="0" borderId="0" xfId="29" applyNumberFormat="1" applyFont="1" applyBorder="1" applyAlignment="1">
      <alignment horizontal="center" vertical="center" wrapText="1"/>
    </xf>
    <xf numFmtId="10" fontId="2" fillId="0" borderId="46" xfId="29" applyNumberFormat="1" applyFont="1" applyBorder="1" applyAlignment="1">
      <alignment horizontal="center" vertical="center"/>
    </xf>
    <xf numFmtId="0" fontId="2" fillId="0" borderId="41" xfId="18" applyFont="1" applyBorder="1" applyAlignment="1">
      <alignment vertical="center"/>
    </xf>
    <xf numFmtId="10" fontId="2" fillId="5" borderId="0" xfId="29" applyNumberFormat="1" applyFont="1" applyFill="1" applyBorder="1" applyAlignment="1">
      <alignment vertical="center"/>
    </xf>
    <xf numFmtId="10" fontId="2" fillId="0" borderId="0" xfId="29" applyNumberFormat="1" applyFont="1" applyBorder="1" applyAlignment="1">
      <alignment vertical="center"/>
    </xf>
    <xf numFmtId="167" fontId="4" fillId="0" borderId="4" xfId="18" applyNumberFormat="1" applyFont="1" applyBorder="1" applyAlignment="1">
      <alignment horizontal="center" vertical="center" wrapText="1"/>
    </xf>
    <xf numFmtId="167" fontId="2" fillId="0" borderId="0" xfId="18" applyNumberFormat="1" applyFont="1" applyAlignment="1">
      <alignment vertical="center"/>
    </xf>
    <xf numFmtId="0" fontId="2" fillId="0" borderId="4" xfId="18" applyFont="1" applyBorder="1" applyAlignment="1">
      <alignment horizontal="center" vertical="center"/>
    </xf>
    <xf numFmtId="0" fontId="4" fillId="0" borderId="0" xfId="18" applyFont="1" applyAlignment="1">
      <alignment horizontal="center" vertical="center"/>
    </xf>
    <xf numFmtId="0" fontId="2" fillId="0" borderId="4" xfId="18" applyFont="1" applyBorder="1" applyAlignment="1">
      <alignment horizontal="right" vertical="center"/>
    </xf>
    <xf numFmtId="0" fontId="2" fillId="0" borderId="0" xfId="18" applyFont="1" applyAlignment="1">
      <alignment horizontal="right" vertical="center"/>
    </xf>
    <xf numFmtId="164" fontId="11" fillId="0" borderId="0" xfId="29" applyNumberFormat="1" applyFont="1" applyBorder="1" applyAlignment="1">
      <alignment vertical="center"/>
    </xf>
    <xf numFmtId="10" fontId="8" fillId="3" borderId="19" xfId="18" applyNumberFormat="1" applyFont="1" applyFill="1" applyBorder="1" applyAlignment="1">
      <alignment vertical="center"/>
    </xf>
    <xf numFmtId="10" fontId="8" fillId="0" borderId="0" xfId="18" applyNumberFormat="1" applyFont="1" applyAlignment="1">
      <alignment vertical="center"/>
    </xf>
    <xf numFmtId="10" fontId="8" fillId="3" borderId="24" xfId="18" applyNumberFormat="1" applyFont="1" applyFill="1" applyBorder="1" applyAlignment="1">
      <alignment vertical="center"/>
    </xf>
    <xf numFmtId="10" fontId="8" fillId="0" borderId="15" xfId="18" applyNumberFormat="1" applyFont="1" applyBorder="1" applyAlignment="1">
      <alignment vertical="center"/>
    </xf>
    <xf numFmtId="10" fontId="2" fillId="0" borderId="15" xfId="29" applyNumberFormat="1" applyFont="1" applyBorder="1" applyAlignment="1">
      <alignment vertical="center"/>
    </xf>
    <xf numFmtId="0" fontId="2" fillId="0" borderId="0" xfId="9"/>
    <xf numFmtId="0" fontId="6" fillId="0" borderId="5" xfId="18" applyFont="1" applyBorder="1"/>
    <xf numFmtId="0" fontId="3" fillId="0" borderId="11" xfId="18" applyFont="1" applyBorder="1" applyAlignment="1">
      <alignment horizontal="center" vertical="center"/>
    </xf>
    <xf numFmtId="0" fontId="0" fillId="0" borderId="0" xfId="18" applyFont="1" applyAlignment="1">
      <alignment vertical="center"/>
    </xf>
    <xf numFmtId="0" fontId="12" fillId="0" borderId="0" xfId="18" applyFont="1"/>
    <xf numFmtId="0" fontId="12" fillId="0" borderId="5" xfId="18" applyFont="1" applyBorder="1"/>
    <xf numFmtId="0" fontId="6" fillId="0" borderId="53" xfId="18" applyFont="1" applyBorder="1"/>
    <xf numFmtId="0" fontId="12" fillId="0" borderId="53" xfId="18" applyFont="1" applyBorder="1"/>
    <xf numFmtId="10" fontId="2" fillId="0" borderId="8" xfId="29" applyNumberFormat="1" applyFont="1" applyBorder="1" applyAlignment="1">
      <alignment horizontal="center" vertical="center"/>
    </xf>
    <xf numFmtId="10" fontId="0" fillId="0" borderId="6" xfId="29" applyNumberFormat="1" applyFont="1" applyFill="1" applyBorder="1" applyAlignment="1" applyProtection="1">
      <alignment horizontal="center" vertical="center"/>
    </xf>
    <xf numFmtId="10" fontId="0" fillId="0" borderId="8" xfId="29" applyNumberFormat="1" applyFont="1" applyBorder="1" applyAlignment="1">
      <alignment horizontal="center" vertical="center"/>
    </xf>
    <xf numFmtId="10" fontId="0" fillId="0" borderId="6" xfId="29" applyNumberFormat="1" applyFont="1" applyBorder="1" applyAlignment="1">
      <alignment horizontal="center" vertical="center"/>
    </xf>
    <xf numFmtId="10" fontId="2" fillId="0" borderId="11" xfId="29" applyNumberFormat="1" applyFont="1" applyBorder="1" applyAlignment="1">
      <alignment horizontal="center" vertical="center"/>
    </xf>
    <xf numFmtId="10" fontId="0" fillId="0" borderId="9" xfId="29" applyNumberFormat="1" applyFont="1" applyBorder="1" applyAlignment="1">
      <alignment horizontal="center" vertical="center"/>
    </xf>
    <xf numFmtId="10" fontId="0" fillId="0" borderId="11" xfId="29" applyNumberFormat="1" applyFont="1" applyBorder="1" applyAlignment="1">
      <alignment horizontal="center" vertical="center"/>
    </xf>
    <xf numFmtId="10" fontId="2" fillId="0" borderId="5" xfId="29" applyNumberFormat="1" applyFont="1" applyBorder="1" applyAlignment="1">
      <alignment horizontal="center" vertical="center"/>
    </xf>
    <xf numFmtId="10" fontId="0" fillId="0" borderId="0" xfId="29" applyNumberFormat="1" applyFont="1" applyBorder="1" applyAlignment="1">
      <alignment horizontal="center" vertical="center"/>
    </xf>
    <xf numFmtId="10" fontId="0" fillId="0" borderId="5" xfId="29" applyNumberFormat="1" applyFont="1" applyBorder="1" applyAlignment="1">
      <alignment horizontal="center" vertical="center"/>
    </xf>
    <xf numFmtId="10" fontId="2" fillId="0" borderId="53" xfId="29" applyNumberFormat="1" applyFont="1" applyBorder="1" applyAlignment="1">
      <alignment horizontal="center" vertical="center"/>
    </xf>
    <xf numFmtId="10" fontId="0" fillId="0" borderId="27" xfId="29" applyNumberFormat="1" applyFont="1" applyBorder="1" applyAlignment="1">
      <alignment horizontal="center" vertical="center"/>
    </xf>
    <xf numFmtId="10" fontId="0" fillId="0" borderId="53" xfId="29" applyNumberFormat="1" applyFont="1" applyBorder="1" applyAlignment="1">
      <alignment horizontal="center" vertical="center"/>
    </xf>
    <xf numFmtId="10" fontId="2" fillId="0" borderId="54" xfId="29" applyNumberFormat="1" applyFont="1" applyBorder="1" applyAlignment="1">
      <alignment horizontal="center" vertical="center"/>
    </xf>
    <xf numFmtId="10" fontId="2" fillId="5" borderId="5" xfId="29" applyNumberFormat="1" applyFont="1" applyFill="1" applyBorder="1" applyAlignment="1">
      <alignment vertical="center"/>
    </xf>
    <xf numFmtId="10" fontId="2" fillId="0" borderId="5" xfId="29" applyNumberFormat="1" applyFont="1" applyBorder="1" applyAlignment="1">
      <alignment vertical="center"/>
    </xf>
    <xf numFmtId="10" fontId="2" fillId="0" borderId="50" xfId="29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8"/>
    <xf numFmtId="0" fontId="2" fillId="0" borderId="57" xfId="8" applyBorder="1"/>
    <xf numFmtId="4" fontId="2" fillId="0" borderId="0" xfId="8" applyNumberFormat="1"/>
    <xf numFmtId="0" fontId="2" fillId="0" borderId="0" xfId="8" applyAlignment="1">
      <alignment vertical="center"/>
    </xf>
    <xf numFmtId="0" fontId="14" fillId="0" borderId="57" xfId="10" applyFont="1" applyBorder="1" applyAlignment="1">
      <alignment horizontal="center" vertical="center"/>
    </xf>
    <xf numFmtId="0" fontId="14" fillId="0" borderId="0" xfId="10" applyFont="1" applyAlignment="1">
      <alignment horizontal="center" vertical="center"/>
    </xf>
    <xf numFmtId="0" fontId="2" fillId="0" borderId="0" xfId="10"/>
    <xf numFmtId="0" fontId="15" fillId="9" borderId="60" xfId="10" applyFont="1" applyFill="1" applyBorder="1" applyAlignment="1">
      <alignment vertical="center"/>
    </xf>
    <xf numFmtId="0" fontId="16" fillId="9" borderId="16" xfId="10" applyFont="1" applyFill="1" applyBorder="1" applyAlignment="1">
      <alignment vertical="center"/>
    </xf>
    <xf numFmtId="0" fontId="16" fillId="0" borderId="57" xfId="10" applyFont="1" applyBorder="1"/>
    <xf numFmtId="0" fontId="16" fillId="0" borderId="0" xfId="10" applyFont="1"/>
    <xf numFmtId="2" fontId="16" fillId="0" borderId="0" xfId="10" applyNumberFormat="1" applyFont="1"/>
    <xf numFmtId="0" fontId="15" fillId="9" borderId="60" xfId="10" applyFont="1" applyFill="1" applyBorder="1"/>
    <xf numFmtId="0" fontId="16" fillId="9" borderId="16" xfId="10" applyFont="1" applyFill="1" applyBorder="1"/>
    <xf numFmtId="2" fontId="16" fillId="0" borderId="14" xfId="10" applyNumberFormat="1" applyFont="1" applyBorder="1" applyAlignment="1">
      <alignment horizontal="center" vertical="center"/>
    </xf>
    <xf numFmtId="0" fontId="15" fillId="0" borderId="0" xfId="10" applyFont="1"/>
    <xf numFmtId="0" fontId="2" fillId="0" borderId="57" xfId="10" applyBorder="1"/>
    <xf numFmtId="0" fontId="4" fillId="9" borderId="60" xfId="10" applyFont="1" applyFill="1" applyBorder="1"/>
    <xf numFmtId="0" fontId="2" fillId="9" borderId="16" xfId="10" applyFill="1" applyBorder="1"/>
    <xf numFmtId="0" fontId="4" fillId="9" borderId="61" xfId="10" applyFont="1" applyFill="1" applyBorder="1"/>
    <xf numFmtId="0" fontId="2" fillId="9" borderId="62" xfId="10" applyFill="1" applyBorder="1"/>
    <xf numFmtId="0" fontId="2" fillId="9" borderId="63" xfId="10" applyFill="1" applyBorder="1"/>
    <xf numFmtId="0" fontId="2" fillId="0" borderId="66" xfId="8" applyBorder="1"/>
    <xf numFmtId="0" fontId="2" fillId="0" borderId="66" xfId="10" applyBorder="1"/>
    <xf numFmtId="2" fontId="15" fillId="0" borderId="0" xfId="10" applyNumberFormat="1" applyFont="1"/>
    <xf numFmtId="2" fontId="15" fillId="0" borderId="14" xfId="10" applyNumberFormat="1" applyFont="1" applyBorder="1" applyAlignment="1">
      <alignment horizontal="center" vertical="center"/>
    </xf>
    <xf numFmtId="0" fontId="4" fillId="0" borderId="0" xfId="10" applyFont="1"/>
    <xf numFmtId="0" fontId="4" fillId="0" borderId="69" xfId="10" applyFont="1" applyBorder="1"/>
    <xf numFmtId="0" fontId="2" fillId="0" borderId="69" xfId="10" applyBorder="1"/>
    <xf numFmtId="0" fontId="2" fillId="0" borderId="70" xfId="10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9" fontId="2" fillId="0" borderId="7" xfId="1" applyNumberFormat="1" applyFont="1" applyFill="1" applyBorder="1" applyAlignment="1">
      <alignment horizontal="center" vertical="center" wrapText="1"/>
    </xf>
    <xf numFmtId="44" fontId="2" fillId="0" borderId="0" xfId="1" applyFont="1"/>
    <xf numFmtId="44" fontId="2" fillId="0" borderId="7" xfId="1" applyFont="1" applyFill="1" applyBorder="1" applyAlignment="1">
      <alignment horizontal="center" vertical="center" wrapText="1"/>
    </xf>
    <xf numFmtId="44" fontId="2" fillId="0" borderId="7" xfId="1" applyFont="1" applyBorder="1"/>
    <xf numFmtId="44" fontId="2" fillId="0" borderId="7" xfId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169" fontId="2" fillId="0" borderId="0" xfId="1" applyNumberFormat="1" applyFont="1" applyFill="1" applyBorder="1" applyAlignment="1">
      <alignment horizontal="center" vertical="center" wrapText="1"/>
    </xf>
    <xf numFmtId="0" fontId="17" fillId="5" borderId="0" xfId="19" applyFont="1" applyFill="1" applyAlignment="1">
      <alignment vertical="center"/>
    </xf>
    <xf numFmtId="0" fontId="17" fillId="5" borderId="73" xfId="20" applyFont="1" applyFill="1" applyBorder="1" applyAlignment="1">
      <alignment vertical="center"/>
    </xf>
    <xf numFmtId="0" fontId="17" fillId="5" borderId="0" xfId="20" applyFont="1" applyFill="1" applyAlignment="1">
      <alignment vertical="center"/>
    </xf>
    <xf numFmtId="168" fontId="12" fillId="5" borderId="0" xfId="30" applyFont="1" applyFill="1" applyBorder="1" applyAlignment="1" applyProtection="1">
      <alignment vertical="center"/>
    </xf>
    <xf numFmtId="168" fontId="18" fillId="5" borderId="74" xfId="30" applyFont="1" applyFill="1" applyBorder="1" applyAlignment="1" applyProtection="1">
      <alignment vertical="center"/>
    </xf>
    <xf numFmtId="168" fontId="18" fillId="5" borderId="0" xfId="30" applyFont="1" applyFill="1" applyBorder="1" applyAlignment="1" applyProtection="1">
      <alignment horizontal="center" vertical="center"/>
    </xf>
    <xf numFmtId="168" fontId="12" fillId="5" borderId="0" xfId="30" applyFont="1" applyFill="1" applyBorder="1" applyAlignment="1" applyProtection="1">
      <alignment horizontal="center" vertical="center"/>
    </xf>
    <xf numFmtId="168" fontId="12" fillId="5" borderId="74" xfId="30" applyFont="1" applyFill="1" applyBorder="1" applyAlignment="1" applyProtection="1">
      <alignment vertical="center"/>
    </xf>
    <xf numFmtId="0" fontId="17" fillId="11" borderId="7" xfId="20" applyFont="1" applyFill="1" applyBorder="1" applyAlignment="1">
      <alignment vertical="center"/>
    </xf>
    <xf numFmtId="168" fontId="12" fillId="11" borderId="7" xfId="30" applyFont="1" applyFill="1" applyBorder="1" applyAlignment="1" applyProtection="1">
      <alignment horizontal="center" vertical="center"/>
    </xf>
    <xf numFmtId="44" fontId="20" fillId="11" borderId="7" xfId="30" applyNumberFormat="1" applyFont="1" applyFill="1" applyBorder="1" applyAlignment="1" applyProtection="1">
      <alignment horizontal="right" vertical="center"/>
    </xf>
    <xf numFmtId="0" fontId="19" fillId="5" borderId="7" xfId="20" applyFont="1" applyFill="1" applyBorder="1" applyAlignment="1">
      <alignment horizontal="right" vertical="center"/>
    </xf>
    <xf numFmtId="0" fontId="19" fillId="12" borderId="7" xfId="20" applyFont="1" applyFill="1" applyBorder="1" applyAlignment="1">
      <alignment vertical="center"/>
    </xf>
    <xf numFmtId="0" fontId="19" fillId="12" borderId="7" xfId="20" applyFont="1" applyFill="1" applyBorder="1" applyAlignment="1">
      <alignment horizontal="center" vertical="center"/>
    </xf>
    <xf numFmtId="168" fontId="12" fillId="12" borderId="7" xfId="30" applyFont="1" applyFill="1" applyBorder="1" applyAlignment="1" applyProtection="1">
      <alignment horizontal="center" vertical="center"/>
    </xf>
    <xf numFmtId="44" fontId="19" fillId="12" borderId="7" xfId="30" applyNumberFormat="1" applyFont="1" applyFill="1" applyBorder="1" applyAlignment="1" applyProtection="1">
      <alignment horizontal="right" vertical="center"/>
    </xf>
    <xf numFmtId="0" fontId="17" fillId="5" borderId="7" xfId="20" applyFont="1" applyFill="1" applyBorder="1" applyAlignment="1">
      <alignment horizontal="right" vertical="center"/>
    </xf>
    <xf numFmtId="0" fontId="17" fillId="5" borderId="7" xfId="20" applyFont="1" applyFill="1" applyBorder="1" applyAlignment="1">
      <alignment vertical="center" wrapText="1"/>
    </xf>
    <xf numFmtId="0" fontId="17" fillId="5" borderId="7" xfId="20" applyFont="1" applyFill="1" applyBorder="1" applyAlignment="1">
      <alignment horizontal="center" vertical="center"/>
    </xf>
    <xf numFmtId="0" fontId="12" fillId="5" borderId="7" xfId="20" applyFont="1" applyFill="1" applyBorder="1" applyAlignment="1">
      <alignment horizontal="center" vertical="center"/>
    </xf>
    <xf numFmtId="165" fontId="17" fillId="5" borderId="7" xfId="7" applyFont="1" applyFill="1" applyBorder="1" applyAlignment="1" applyProtection="1">
      <alignment vertical="center"/>
    </xf>
    <xf numFmtId="44" fontId="19" fillId="5" borderId="7" xfId="30" applyNumberFormat="1" applyFont="1" applyFill="1" applyBorder="1" applyAlignment="1" applyProtection="1">
      <alignment horizontal="right" vertical="center"/>
    </xf>
    <xf numFmtId="0" fontId="17" fillId="12" borderId="7" xfId="20" applyFont="1" applyFill="1" applyBorder="1" applyAlignment="1">
      <alignment horizontal="center" vertical="center"/>
    </xf>
    <xf numFmtId="0" fontId="12" fillId="12" borderId="7" xfId="20" applyFont="1" applyFill="1" applyBorder="1" applyAlignment="1">
      <alignment horizontal="center" vertical="center"/>
    </xf>
    <xf numFmtId="170" fontId="12" fillId="11" borderId="7" xfId="30" applyNumberFormat="1" applyFont="1" applyFill="1" applyBorder="1" applyAlignment="1" applyProtection="1">
      <alignment horizontal="center" vertical="center"/>
    </xf>
    <xf numFmtId="0" fontId="17" fillId="5" borderId="7" xfId="20" applyFont="1" applyFill="1" applyBorder="1" applyAlignment="1">
      <alignment vertical="center"/>
    </xf>
    <xf numFmtId="170" fontId="12" fillId="5" borderId="7" xfId="30" applyNumberFormat="1" applyFont="1" applyFill="1" applyBorder="1" applyAlignment="1" applyProtection="1">
      <alignment horizontal="center" vertical="center"/>
    </xf>
    <xf numFmtId="0" fontId="17" fillId="11" borderId="7" xfId="20" applyFont="1" applyFill="1" applyBorder="1" applyAlignment="1">
      <alignment horizontal="left" vertical="center"/>
    </xf>
    <xf numFmtId="0" fontId="17" fillId="5" borderId="7" xfId="20" applyFont="1" applyFill="1" applyBorder="1" applyAlignment="1">
      <alignment horizontal="center" vertical="center" wrapText="1"/>
    </xf>
    <xf numFmtId="10" fontId="17" fillId="5" borderId="7" xfId="20" applyNumberFormat="1" applyFont="1" applyFill="1" applyBorder="1" applyAlignment="1">
      <alignment horizontal="center" vertical="center"/>
    </xf>
    <xf numFmtId="7" fontId="12" fillId="5" borderId="7" xfId="7" applyNumberFormat="1" applyFont="1" applyFill="1" applyBorder="1" applyAlignment="1" applyProtection="1">
      <alignment horizontal="center" vertical="center"/>
    </xf>
    <xf numFmtId="0" fontId="19" fillId="13" borderId="7" xfId="20" applyFont="1" applyFill="1" applyBorder="1" applyAlignment="1">
      <alignment horizontal="left" vertical="center"/>
    </xf>
    <xf numFmtId="0" fontId="19" fillId="13" borderId="7" xfId="20" applyFont="1" applyFill="1" applyBorder="1" applyAlignment="1">
      <alignment horizontal="center" vertical="center"/>
    </xf>
    <xf numFmtId="170" fontId="19" fillId="13" borderId="7" xfId="30" applyNumberFormat="1" applyFont="1" applyFill="1" applyBorder="1" applyAlignment="1" applyProtection="1">
      <alignment vertical="center"/>
    </xf>
    <xf numFmtId="44" fontId="19" fillId="13" borderId="7" xfId="30" applyNumberFormat="1" applyFont="1" applyFill="1" applyBorder="1" applyAlignment="1" applyProtection="1">
      <alignment horizontal="right" vertical="center"/>
    </xf>
    <xf numFmtId="0" fontId="17" fillId="5" borderId="7" xfId="20" applyFont="1" applyFill="1" applyBorder="1" applyAlignment="1">
      <alignment horizontal="left" vertical="center"/>
    </xf>
    <xf numFmtId="170" fontId="12" fillId="5" borderId="7" xfId="30" applyNumberFormat="1" applyFont="1" applyFill="1" applyBorder="1" applyAlignment="1" applyProtection="1">
      <alignment vertical="center"/>
    </xf>
    <xf numFmtId="170" fontId="19" fillId="5" borderId="7" xfId="30" applyNumberFormat="1" applyFont="1" applyFill="1" applyBorder="1" applyAlignment="1" applyProtection="1">
      <alignment horizontal="right" vertical="center"/>
    </xf>
    <xf numFmtId="0" fontId="19" fillId="14" borderId="7" xfId="20" applyFont="1" applyFill="1" applyBorder="1" applyAlignment="1">
      <alignment horizontal="left" vertical="center"/>
    </xf>
    <xf numFmtId="170" fontId="19" fillId="14" borderId="7" xfId="30" applyNumberFormat="1" applyFont="1" applyFill="1" applyBorder="1" applyAlignment="1" applyProtection="1">
      <alignment vertical="center"/>
    </xf>
    <xf numFmtId="0" fontId="19" fillId="5" borderId="12" xfId="20" applyFont="1" applyFill="1" applyBorder="1" applyAlignment="1">
      <alignment vertical="center"/>
    </xf>
    <xf numFmtId="44" fontId="18" fillId="15" borderId="14" xfId="1" applyFont="1" applyFill="1" applyBorder="1" applyAlignment="1" applyProtection="1">
      <alignment vertical="center"/>
    </xf>
    <xf numFmtId="0" fontId="17" fillId="0" borderId="0" xfId="17" applyFont="1"/>
    <xf numFmtId="0" fontId="21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2" fillId="7" borderId="1" xfId="0" applyFont="1" applyFill="1" applyBorder="1" applyAlignment="1">
      <alignment horizontal="left" vertical="center"/>
    </xf>
    <xf numFmtId="0" fontId="2" fillId="7" borderId="2" xfId="0" applyFont="1" applyFill="1" applyBorder="1"/>
    <xf numFmtId="0" fontId="22" fillId="7" borderId="2" xfId="0" applyFont="1" applyFill="1" applyBorder="1" applyAlignment="1">
      <alignment horizontal="left" vertical="center"/>
    </xf>
    <xf numFmtId="0" fontId="20" fillId="7" borderId="4" xfId="0" applyFont="1" applyFill="1" applyBorder="1" applyAlignment="1">
      <alignment horizontal="left" vertical="center"/>
    </xf>
    <xf numFmtId="0" fontId="2" fillId="7" borderId="0" xfId="0" applyFont="1" applyFill="1"/>
    <xf numFmtId="17" fontId="20" fillId="7" borderId="0" xfId="0" applyNumberFormat="1" applyFont="1" applyFill="1" applyAlignment="1">
      <alignment horizontal="left" vertical="center"/>
    </xf>
    <xf numFmtId="0" fontId="20" fillId="7" borderId="0" xfId="0" applyFont="1" applyFill="1" applyAlignment="1">
      <alignment horizontal="right" vertical="center"/>
    </xf>
    <xf numFmtId="171" fontId="20" fillId="7" borderId="0" xfId="0" applyNumberFormat="1" applyFont="1" applyFill="1" applyAlignment="1">
      <alignment horizontal="right" vertical="center"/>
    </xf>
    <xf numFmtId="0" fontId="8" fillId="7" borderId="49" xfId="0" applyFont="1" applyFill="1" applyBorder="1" applyAlignment="1">
      <alignment horizontal="left" vertical="center" wrapText="1"/>
    </xf>
    <xf numFmtId="0" fontId="19" fillId="7" borderId="49" xfId="0" applyFont="1" applyFill="1" applyBorder="1" applyAlignment="1">
      <alignment horizontal="left" vertical="center"/>
    </xf>
    <xf numFmtId="0" fontId="19" fillId="7" borderId="15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center" vertical="center"/>
    </xf>
    <xf numFmtId="0" fontId="17" fillId="7" borderId="49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right" vertical="center"/>
    </xf>
    <xf numFmtId="0" fontId="17" fillId="16" borderId="4" xfId="0" applyFont="1" applyFill="1" applyBorder="1" applyAlignment="1">
      <alignment horizontal="center" vertical="center"/>
    </xf>
    <xf numFmtId="0" fontId="17" fillId="16" borderId="0" xfId="0" applyFont="1" applyFill="1" applyAlignment="1">
      <alignment horizontal="left" vertical="center" wrapText="1"/>
    </xf>
    <xf numFmtId="171" fontId="17" fillId="16" borderId="0" xfId="0" applyNumberFormat="1" applyFont="1" applyFill="1" applyAlignment="1">
      <alignment horizontal="center" vertical="center"/>
    </xf>
    <xf numFmtId="0" fontId="17" fillId="16" borderId="0" xfId="0" applyFont="1" applyFill="1" applyAlignment="1">
      <alignment horizontal="center" vertical="center"/>
    </xf>
    <xf numFmtId="0" fontId="2" fillId="16" borderId="0" xfId="0" applyFont="1" applyFill="1"/>
    <xf numFmtId="172" fontId="17" fillId="16" borderId="0" xfId="0" applyNumberFormat="1" applyFont="1" applyFill="1" applyAlignment="1">
      <alignment horizontal="right" vertical="center"/>
    </xf>
    <xf numFmtId="0" fontId="2" fillId="7" borderId="4" xfId="0" applyFont="1" applyFill="1" applyBorder="1"/>
    <xf numFmtId="0" fontId="19" fillId="7" borderId="0" xfId="0" applyFont="1" applyFill="1" applyAlignment="1">
      <alignment horizontal="right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0" xfId="0" applyFont="1" applyFill="1" applyAlignment="1">
      <alignment horizontal="left" vertical="center" wrapText="1"/>
    </xf>
    <xf numFmtId="171" fontId="17" fillId="7" borderId="0" xfId="0" applyNumberFormat="1" applyFont="1" applyFill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172" fontId="17" fillId="7" borderId="0" xfId="0" applyNumberFormat="1" applyFont="1" applyFill="1" applyAlignment="1">
      <alignment horizontal="right" vertical="center"/>
    </xf>
    <xf numFmtId="0" fontId="22" fillId="7" borderId="2" xfId="0" applyFont="1" applyFill="1" applyBorder="1" applyAlignment="1">
      <alignment horizontal="right" vertical="center"/>
    </xf>
    <xf numFmtId="171" fontId="22" fillId="7" borderId="2" xfId="0" applyNumberFormat="1" applyFont="1" applyFill="1" applyBorder="1" applyAlignment="1">
      <alignment horizontal="left" vertical="center"/>
    </xf>
    <xf numFmtId="4" fontId="17" fillId="7" borderId="0" xfId="0" applyNumberFormat="1" applyFont="1" applyFill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" fillId="7" borderId="3" xfId="0" applyFont="1" applyFill="1" applyBorder="1"/>
    <xf numFmtId="0" fontId="20" fillId="7" borderId="5" xfId="0" applyFont="1" applyFill="1" applyBorder="1" applyAlignment="1">
      <alignment horizontal="left" vertical="center"/>
    </xf>
    <xf numFmtId="0" fontId="19" fillId="7" borderId="5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172" fontId="17" fillId="7" borderId="50" xfId="0" applyNumberFormat="1" applyFont="1" applyFill="1" applyBorder="1" applyAlignment="1">
      <alignment horizontal="right" vertical="center"/>
    </xf>
    <xf numFmtId="172" fontId="17" fillId="16" borderId="5" xfId="0" applyNumberFormat="1" applyFont="1" applyFill="1" applyBorder="1" applyAlignment="1">
      <alignment horizontal="right" vertical="center"/>
    </xf>
    <xf numFmtId="172" fontId="17" fillId="7" borderId="5" xfId="0" applyNumberFormat="1" applyFont="1" applyFill="1" applyBorder="1" applyAlignment="1">
      <alignment horizontal="right" vertical="center"/>
    </xf>
    <xf numFmtId="172" fontId="19" fillId="7" borderId="50" xfId="0" applyNumberFormat="1" applyFont="1" applyFill="1" applyBorder="1" applyAlignment="1">
      <alignment horizontal="right" vertical="center"/>
    </xf>
    <xf numFmtId="172" fontId="19" fillId="7" borderId="5" xfId="0" applyNumberFormat="1" applyFont="1" applyFill="1" applyBorder="1" applyAlignment="1">
      <alignment horizontal="right" vertical="center"/>
    </xf>
    <xf numFmtId="171" fontId="19" fillId="7" borderId="5" xfId="0" applyNumberFormat="1" applyFont="1" applyFill="1" applyBorder="1" applyAlignment="1">
      <alignment horizontal="right" vertical="center"/>
    </xf>
    <xf numFmtId="0" fontId="2" fillId="7" borderId="5" xfId="0" applyFont="1" applyFill="1" applyBorder="1"/>
    <xf numFmtId="44" fontId="22" fillId="17" borderId="50" xfId="1" applyFont="1" applyFill="1" applyBorder="1" applyAlignment="1">
      <alignment horizontal="right" vertical="center"/>
    </xf>
    <xf numFmtId="4" fontId="8" fillId="7" borderId="0" xfId="0" applyNumberFormat="1" applyFont="1" applyFill="1" applyAlignment="1">
      <alignment horizontal="right" vertical="center"/>
    </xf>
    <xf numFmtId="0" fontId="2" fillId="0" borderId="15" xfId="0" applyFont="1" applyBorder="1"/>
    <xf numFmtId="0" fontId="20" fillId="7" borderId="49" xfId="0" applyFont="1" applyFill="1" applyBorder="1" applyAlignment="1">
      <alignment horizontal="left" vertical="center" wrapText="1"/>
    </xf>
    <xf numFmtId="0" fontId="2" fillId="0" borderId="50" xfId="0" applyFont="1" applyBorder="1"/>
    <xf numFmtId="0" fontId="21" fillId="0" borderId="0" xfId="17" applyFont="1" applyAlignment="1">
      <alignment horizontal="left" vertical="center"/>
    </xf>
    <xf numFmtId="0" fontId="17" fillId="0" borderId="0" xfId="17" applyFont="1" applyAlignment="1">
      <alignment horizontal="center" vertical="center"/>
    </xf>
    <xf numFmtId="0" fontId="22" fillId="7" borderId="1" xfId="17" applyFont="1" applyFill="1" applyBorder="1" applyAlignment="1">
      <alignment horizontal="left" vertical="center"/>
    </xf>
    <xf numFmtId="0" fontId="17" fillId="7" borderId="2" xfId="17" applyFont="1" applyFill="1" applyBorder="1"/>
    <xf numFmtId="0" fontId="22" fillId="7" borderId="2" xfId="17" applyFont="1" applyFill="1" applyBorder="1" applyAlignment="1">
      <alignment horizontal="left" vertical="center"/>
    </xf>
    <xf numFmtId="0" fontId="22" fillId="7" borderId="2" xfId="17" applyFont="1" applyFill="1" applyBorder="1" applyAlignment="1">
      <alignment horizontal="right" vertical="center"/>
    </xf>
    <xf numFmtId="171" fontId="22" fillId="7" borderId="2" xfId="17" applyNumberFormat="1" applyFont="1" applyFill="1" applyBorder="1" applyAlignment="1">
      <alignment horizontal="left" vertical="center"/>
    </xf>
    <xf numFmtId="0" fontId="20" fillId="7" borderId="4" xfId="17" applyFont="1" applyFill="1" applyBorder="1" applyAlignment="1">
      <alignment horizontal="left" vertical="center"/>
    </xf>
    <xf numFmtId="0" fontId="17" fillId="7" borderId="0" xfId="17" applyFont="1" applyFill="1"/>
    <xf numFmtId="0" fontId="20" fillId="7" borderId="0" xfId="17" applyFont="1" applyFill="1" applyAlignment="1">
      <alignment horizontal="right" vertical="center"/>
    </xf>
    <xf numFmtId="4" fontId="20" fillId="7" borderId="0" xfId="17" applyNumberFormat="1" applyFont="1" applyFill="1" applyAlignment="1">
      <alignment horizontal="right" vertical="center"/>
    </xf>
    <xf numFmtId="0" fontId="20" fillId="7" borderId="49" xfId="17" applyFont="1" applyFill="1" applyBorder="1" applyAlignment="1">
      <alignment horizontal="left" vertical="center" wrapText="1"/>
    </xf>
    <xf numFmtId="0" fontId="19" fillId="7" borderId="49" xfId="17" applyFont="1" applyFill="1" applyBorder="1" applyAlignment="1">
      <alignment horizontal="left" vertical="center"/>
    </xf>
    <xf numFmtId="0" fontId="19" fillId="7" borderId="15" xfId="17" applyFont="1" applyFill="1" applyBorder="1" applyAlignment="1">
      <alignment horizontal="center" vertical="center"/>
    </xf>
    <xf numFmtId="0" fontId="17" fillId="7" borderId="15" xfId="17" applyFont="1" applyFill="1" applyBorder="1" applyAlignment="1">
      <alignment horizontal="center" vertical="center"/>
    </xf>
    <xf numFmtId="0" fontId="17" fillId="7" borderId="4" xfId="17" applyFont="1" applyFill="1" applyBorder="1" applyAlignment="1">
      <alignment horizontal="center" vertical="center"/>
    </xf>
    <xf numFmtId="0" fontId="17" fillId="7" borderId="0" xfId="17" applyFont="1" applyFill="1" applyAlignment="1">
      <alignment horizontal="left" vertical="center" wrapText="1"/>
    </xf>
    <xf numFmtId="171" fontId="17" fillId="7" borderId="0" xfId="17" applyNumberFormat="1" applyFont="1" applyFill="1" applyAlignment="1">
      <alignment horizontal="center" vertical="center"/>
    </xf>
    <xf numFmtId="4" fontId="17" fillId="7" borderId="0" xfId="17" applyNumberFormat="1" applyFont="1" applyFill="1" applyAlignment="1">
      <alignment horizontal="center" vertical="center"/>
    </xf>
    <xf numFmtId="172" fontId="17" fillId="7" borderId="0" xfId="17" applyNumberFormat="1" applyFont="1" applyFill="1" applyAlignment="1">
      <alignment horizontal="right" vertical="center"/>
    </xf>
    <xf numFmtId="0" fontId="17" fillId="7" borderId="49" xfId="17" applyFont="1" applyFill="1" applyBorder="1" applyAlignment="1">
      <alignment horizontal="center" vertical="center"/>
    </xf>
    <xf numFmtId="0" fontId="19" fillId="7" borderId="15" xfId="17" applyFont="1" applyFill="1" applyBorder="1" applyAlignment="1">
      <alignment horizontal="right" vertical="center"/>
    </xf>
    <xf numFmtId="0" fontId="17" fillId="16" borderId="4" xfId="17" applyFont="1" applyFill="1" applyBorder="1" applyAlignment="1">
      <alignment horizontal="center" vertical="center"/>
    </xf>
    <xf numFmtId="0" fontId="17" fillId="16" borderId="0" xfId="17" applyFont="1" applyFill="1" applyAlignment="1">
      <alignment horizontal="left" vertical="center" wrapText="1"/>
    </xf>
    <xf numFmtId="171" fontId="17" fillId="16" borderId="0" xfId="17" applyNumberFormat="1" applyFont="1" applyFill="1" applyAlignment="1">
      <alignment horizontal="center" vertical="center"/>
    </xf>
    <xf numFmtId="0" fontId="17" fillId="16" borderId="0" xfId="17" applyFont="1" applyFill="1" applyAlignment="1">
      <alignment horizontal="center" vertical="center"/>
    </xf>
    <xf numFmtId="0" fontId="17" fillId="16" borderId="0" xfId="17" applyFont="1" applyFill="1"/>
    <xf numFmtId="172" fontId="17" fillId="16" borderId="0" xfId="17" applyNumberFormat="1" applyFont="1" applyFill="1" applyAlignment="1">
      <alignment horizontal="right" vertical="center"/>
    </xf>
    <xf numFmtId="0" fontId="17" fillId="7" borderId="4" xfId="17" applyFont="1" applyFill="1" applyBorder="1"/>
    <xf numFmtId="0" fontId="19" fillId="7" borderId="0" xfId="17" applyFont="1" applyFill="1" applyAlignment="1">
      <alignment horizontal="right" vertical="center"/>
    </xf>
    <xf numFmtId="0" fontId="17" fillId="7" borderId="0" xfId="17" applyFont="1" applyFill="1" applyAlignment="1">
      <alignment horizontal="center" vertical="center"/>
    </xf>
    <xf numFmtId="0" fontId="21" fillId="0" borderId="0" xfId="17" applyFont="1" applyAlignment="1">
      <alignment horizontal="right" vertical="center"/>
    </xf>
    <xf numFmtId="0" fontId="17" fillId="7" borderId="3" xfId="17" applyFont="1" applyFill="1" applyBorder="1"/>
    <xf numFmtId="0" fontId="20" fillId="7" borderId="5" xfId="17" applyFont="1" applyFill="1" applyBorder="1" applyAlignment="1">
      <alignment horizontal="left" vertical="center"/>
    </xf>
    <xf numFmtId="0" fontId="19" fillId="7" borderId="5" xfId="17" applyFont="1" applyFill="1" applyBorder="1" applyAlignment="1">
      <alignment horizontal="center" vertical="center"/>
    </xf>
    <xf numFmtId="0" fontId="19" fillId="7" borderId="50" xfId="17" applyFont="1" applyFill="1" applyBorder="1" applyAlignment="1">
      <alignment horizontal="center" vertical="center"/>
    </xf>
    <xf numFmtId="172" fontId="17" fillId="7" borderId="5" xfId="17" applyNumberFormat="1" applyFont="1" applyFill="1" applyBorder="1" applyAlignment="1">
      <alignment horizontal="right" vertical="center"/>
    </xf>
    <xf numFmtId="172" fontId="17" fillId="7" borderId="50" xfId="17" applyNumberFormat="1" applyFont="1" applyFill="1" applyBorder="1" applyAlignment="1">
      <alignment horizontal="right" vertical="center"/>
    </xf>
    <xf numFmtId="172" fontId="17" fillId="16" borderId="5" xfId="17" applyNumberFormat="1" applyFont="1" applyFill="1" applyBorder="1" applyAlignment="1">
      <alignment horizontal="right" vertical="center"/>
    </xf>
    <xf numFmtId="172" fontId="19" fillId="7" borderId="50" xfId="17" applyNumberFormat="1" applyFont="1" applyFill="1" applyBorder="1" applyAlignment="1">
      <alignment horizontal="right" vertical="center"/>
    </xf>
    <xf numFmtId="172" fontId="19" fillId="7" borderId="5" xfId="17" applyNumberFormat="1" applyFont="1" applyFill="1" applyBorder="1" applyAlignment="1">
      <alignment horizontal="right" vertical="center"/>
    </xf>
    <xf numFmtId="171" fontId="19" fillId="7" borderId="5" xfId="17" applyNumberFormat="1" applyFont="1" applyFill="1" applyBorder="1" applyAlignment="1">
      <alignment horizontal="right" vertical="center"/>
    </xf>
    <xf numFmtId="0" fontId="17" fillId="7" borderId="5" xfId="17" applyFont="1" applyFill="1" applyBorder="1"/>
    <xf numFmtId="165" fontId="22" fillId="18" borderId="50" xfId="6" applyFont="1" applyFill="1" applyBorder="1"/>
    <xf numFmtId="165" fontId="22" fillId="18" borderId="50" xfId="6" applyFont="1" applyFill="1" applyBorder="1" applyAlignment="1">
      <alignment horizontal="right" vertical="center"/>
    </xf>
    <xf numFmtId="171" fontId="20" fillId="7" borderId="0" xfId="17" applyNumberFormat="1" applyFont="1" applyFill="1" applyAlignment="1">
      <alignment horizontal="right" vertical="center"/>
    </xf>
    <xf numFmtId="0" fontId="9" fillId="0" borderId="14" xfId="22" applyFont="1" applyBorder="1" applyAlignment="1">
      <alignment horizontal="center" vertical="center"/>
    </xf>
    <xf numFmtId="0" fontId="9" fillId="4" borderId="14" xfId="22" applyFont="1" applyFill="1" applyBorder="1" applyAlignment="1">
      <alignment horizontal="center" vertical="center"/>
    </xf>
    <xf numFmtId="0" fontId="9" fillId="0" borderId="14" xfId="22" applyFont="1" applyBorder="1" applyAlignment="1">
      <alignment vertical="center" wrapText="1"/>
    </xf>
    <xf numFmtId="49" fontId="8" fillId="4" borderId="75" xfId="22" applyNumberFormat="1" applyFont="1" applyFill="1" applyBorder="1" applyAlignment="1">
      <alignment horizontal="center" vertical="center" wrapText="1"/>
    </xf>
    <xf numFmtId="49" fontId="8" fillId="4" borderId="14" xfId="22" applyNumberFormat="1" applyFont="1" applyFill="1" applyBorder="1" applyAlignment="1">
      <alignment horizontal="center" vertical="center" wrapText="1"/>
    </xf>
    <xf numFmtId="0" fontId="8" fillId="4" borderId="14" xfId="22" applyFont="1" applyFill="1" applyBorder="1" applyAlignment="1">
      <alignment horizontal="center" vertical="center"/>
    </xf>
    <xf numFmtId="0" fontId="8" fillId="4" borderId="75" xfId="22" applyFont="1" applyFill="1" applyBorder="1" applyAlignment="1">
      <alignment horizontal="center" vertical="center"/>
    </xf>
    <xf numFmtId="0" fontId="9" fillId="0" borderId="14" xfId="22" applyFont="1" applyBorder="1" applyAlignment="1">
      <alignment horizontal="left" vertical="center" wrapText="1"/>
    </xf>
    <xf numFmtId="49" fontId="9" fillId="0" borderId="14" xfId="22" applyNumberFormat="1" applyFont="1" applyBorder="1" applyAlignment="1">
      <alignment horizontal="center" vertical="center"/>
    </xf>
    <xf numFmtId="173" fontId="9" fillId="0" borderId="14" xfId="13" applyNumberFormat="1" applyFont="1" applyBorder="1" applyAlignment="1">
      <alignment horizontal="center" vertical="center"/>
    </xf>
    <xf numFmtId="44" fontId="9" fillId="0" borderId="14" xfId="1" applyFont="1" applyFill="1" applyBorder="1" applyAlignment="1">
      <alignment vertical="center"/>
    </xf>
    <xf numFmtId="0" fontId="9" fillId="0" borderId="35" xfId="22" applyFont="1" applyBorder="1" applyAlignment="1">
      <alignment horizontal="left" vertical="center" wrapText="1"/>
    </xf>
    <xf numFmtId="44" fontId="9" fillId="4" borderId="14" xfId="13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49" xfId="0" applyBorder="1"/>
    <xf numFmtId="0" fontId="0" fillId="0" borderId="15" xfId="0" applyBorder="1"/>
    <xf numFmtId="0" fontId="4" fillId="0" borderId="15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2" fillId="5" borderId="4" xfId="0" applyFont="1" applyFill="1" applyBorder="1"/>
    <xf numFmtId="0" fontId="2" fillId="5" borderId="0" xfId="0" applyFont="1" applyFill="1"/>
    <xf numFmtId="0" fontId="4" fillId="5" borderId="4" xfId="8" applyFont="1" applyFill="1" applyBorder="1"/>
    <xf numFmtId="0" fontId="1" fillId="19" borderId="6" xfId="21" applyFont="1" applyFill="1" applyBorder="1" applyAlignment="1">
      <alignment horizontal="center" vertical="center" wrapText="1"/>
    </xf>
    <xf numFmtId="0" fontId="1" fillId="19" borderId="7" xfId="21" applyFont="1" applyFill="1" applyBorder="1" applyAlignment="1">
      <alignment horizontal="center" vertical="center" wrapText="1"/>
    </xf>
    <xf numFmtId="0" fontId="1" fillId="19" borderId="7" xfId="21" applyFont="1" applyFill="1" applyBorder="1" applyAlignment="1">
      <alignment horizontal="left" vertical="center" wrapText="1"/>
    </xf>
    <xf numFmtId="174" fontId="1" fillId="19" borderId="7" xfId="4" applyNumberFormat="1" applyFont="1" applyFill="1" applyBorder="1" applyAlignment="1">
      <alignment horizontal="center" vertical="center" wrapText="1"/>
    </xf>
    <xf numFmtId="0" fontId="25" fillId="20" borderId="6" xfId="21" applyFont="1" applyFill="1" applyBorder="1" applyAlignment="1">
      <alignment horizontal="center" vertical="center" wrapText="1"/>
    </xf>
    <xf numFmtId="0" fontId="25" fillId="20" borderId="7" xfId="21" applyFont="1" applyFill="1" applyBorder="1" applyAlignment="1">
      <alignment horizontal="center" vertical="center" wrapText="1"/>
    </xf>
    <xf numFmtId="0" fontId="25" fillId="20" borderId="7" xfId="21" applyFont="1" applyFill="1" applyBorder="1" applyAlignment="1">
      <alignment horizontal="left" vertical="center" wrapText="1"/>
    </xf>
    <xf numFmtId="174" fontId="25" fillId="20" borderId="7" xfId="4" applyNumberFormat="1" applyFont="1" applyFill="1" applyBorder="1" applyAlignment="1">
      <alignment horizontal="center" vertical="center" wrapText="1"/>
    </xf>
    <xf numFmtId="44" fontId="25" fillId="5" borderId="7" xfId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172" fontId="25" fillId="20" borderId="7" xfId="2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8" fillId="5" borderId="5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vertical="center"/>
    </xf>
    <xf numFmtId="0" fontId="2" fillId="5" borderId="5" xfId="0" applyFont="1" applyFill="1" applyBorder="1"/>
    <xf numFmtId="174" fontId="1" fillId="19" borderId="8" xfId="4" applyNumberFormat="1" applyFont="1" applyFill="1" applyBorder="1" applyAlignment="1">
      <alignment horizontal="center" vertical="center" wrapText="1"/>
    </xf>
    <xf numFmtId="44" fontId="25" fillId="20" borderId="8" xfId="1" applyFont="1" applyFill="1" applyBorder="1" applyAlignment="1">
      <alignment horizontal="center" vertical="center" wrapText="1"/>
    </xf>
    <xf numFmtId="44" fontId="1" fillId="5" borderId="8" xfId="1" applyFont="1" applyFill="1" applyBorder="1" applyAlignment="1">
      <alignment horizontal="right" vertical="center"/>
    </xf>
    <xf numFmtId="44" fontId="1" fillId="5" borderId="11" xfId="1" applyFont="1" applyFill="1" applyBorder="1" applyAlignment="1">
      <alignment horizontal="right" vertical="center"/>
    </xf>
    <xf numFmtId="0" fontId="2" fillId="0" borderId="0" xfId="8" applyAlignment="1">
      <alignment horizontal="center" vertical="center"/>
    </xf>
    <xf numFmtId="0" fontId="4" fillId="0" borderId="0" xfId="8" applyFont="1" applyAlignment="1">
      <alignment horizontal="center" vertical="center"/>
    </xf>
    <xf numFmtId="0" fontId="4" fillId="0" borderId="0" xfId="8" applyFont="1" applyAlignment="1">
      <alignment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21" borderId="27" xfId="0" applyFont="1" applyFill="1" applyBorder="1" applyAlignment="1">
      <alignment horizontal="center" vertical="center"/>
    </xf>
    <xf numFmtId="0" fontId="29" fillId="21" borderId="80" xfId="0" applyFont="1" applyFill="1" applyBorder="1" applyAlignment="1">
      <alignment horizontal="left" vertical="center" wrapText="1"/>
    </xf>
    <xf numFmtId="0" fontId="29" fillId="21" borderId="80" xfId="0" applyFont="1" applyFill="1" applyBorder="1" applyAlignment="1">
      <alignment horizontal="center" vertical="center" wrapText="1"/>
    </xf>
    <xf numFmtId="0" fontId="29" fillId="21" borderId="80" xfId="0" applyFont="1" applyFill="1" applyBorder="1" applyAlignment="1">
      <alignment horizontal="center" vertical="center"/>
    </xf>
    <xf numFmtId="175" fontId="29" fillId="21" borderId="80" xfId="0" applyNumberFormat="1" applyFont="1" applyFill="1" applyBorder="1" applyAlignment="1">
      <alignment horizontal="center" vertical="center"/>
    </xf>
    <xf numFmtId="0" fontId="29" fillId="22" borderId="36" xfId="0" applyFont="1" applyFill="1" applyBorder="1" applyAlignment="1">
      <alignment horizontal="center" vertical="center"/>
    </xf>
    <xf numFmtId="170" fontId="29" fillId="0" borderId="7" xfId="0" applyNumberFormat="1" applyFont="1" applyBorder="1" applyAlignment="1">
      <alignment horizontal="center" vertical="center" wrapText="1"/>
    </xf>
    <xf numFmtId="170" fontId="30" fillId="0" borderId="7" xfId="0" applyNumberFormat="1" applyFont="1" applyBorder="1" applyAlignment="1">
      <alignment horizontal="center" vertical="center"/>
    </xf>
    <xf numFmtId="0" fontId="29" fillId="22" borderId="7" xfId="0" applyFont="1" applyFill="1" applyBorder="1" applyAlignment="1">
      <alignment horizontal="center" vertical="center" wrapText="1"/>
    </xf>
    <xf numFmtId="10" fontId="30" fillId="22" borderId="7" xfId="0" applyNumberFormat="1" applyFont="1" applyFill="1" applyBorder="1" applyAlignment="1">
      <alignment horizontal="center" vertical="center"/>
    </xf>
    <xf numFmtId="170" fontId="29" fillId="0" borderId="4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29" fillId="22" borderId="10" xfId="0" applyFont="1" applyFill="1" applyBorder="1" applyAlignment="1">
      <alignment horizontal="center" vertical="center" wrapText="1"/>
    </xf>
    <xf numFmtId="10" fontId="30" fillId="22" borderId="10" xfId="0" applyNumberFormat="1" applyFont="1" applyFill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74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3" fontId="30" fillId="0" borderId="0" xfId="0" applyNumberFormat="1" applyFont="1" applyAlignment="1">
      <alignment horizontal="center" vertical="center"/>
    </xf>
    <xf numFmtId="0" fontId="29" fillId="22" borderId="81" xfId="0" applyFont="1" applyFill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10" fontId="30" fillId="0" borderId="0" xfId="0" applyNumberFormat="1" applyFont="1" applyAlignment="1">
      <alignment horizontal="center" vertical="center"/>
    </xf>
    <xf numFmtId="0" fontId="31" fillId="0" borderId="2" xfId="8" applyFont="1" applyBorder="1" applyAlignment="1">
      <alignment horizontal="center" vertical="center"/>
    </xf>
    <xf numFmtId="0" fontId="31" fillId="0" borderId="15" xfId="8" applyFont="1" applyBorder="1" applyAlignment="1">
      <alignment horizontal="center" vertical="center"/>
    </xf>
    <xf numFmtId="43" fontId="29" fillId="0" borderId="0" xfId="0" applyNumberFormat="1" applyFont="1" applyAlignment="1">
      <alignment horizontal="center" vertical="center"/>
    </xf>
    <xf numFmtId="0" fontId="31" fillId="0" borderId="3" xfId="8" applyFont="1" applyBorder="1" applyAlignment="1">
      <alignment horizontal="center" vertical="center"/>
    </xf>
    <xf numFmtId="0" fontId="31" fillId="0" borderId="50" xfId="8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9" fillId="21" borderId="53" xfId="0" applyFont="1" applyFill="1" applyBorder="1" applyAlignment="1">
      <alignment horizontal="center" vertical="center"/>
    </xf>
    <xf numFmtId="170" fontId="29" fillId="0" borderId="8" xfId="0" applyNumberFormat="1" applyFont="1" applyBorder="1" applyAlignment="1">
      <alignment horizontal="center" vertical="center"/>
    </xf>
    <xf numFmtId="10" fontId="29" fillId="22" borderId="8" xfId="0" applyNumberFormat="1" applyFont="1" applyFill="1" applyBorder="1" applyAlignment="1">
      <alignment horizontal="center" vertical="center"/>
    </xf>
    <xf numFmtId="10" fontId="29" fillId="22" borderId="11" xfId="0" applyNumberFormat="1" applyFont="1" applyFill="1" applyBorder="1" applyAlignment="1">
      <alignment horizontal="center" vertical="center"/>
    </xf>
    <xf numFmtId="170" fontId="29" fillId="0" borderId="5" xfId="0" applyNumberFormat="1" applyFont="1" applyBorder="1" applyAlignment="1">
      <alignment horizontal="center" vertical="center"/>
    </xf>
    <xf numFmtId="10" fontId="29" fillId="0" borderId="0" xfId="0" applyNumberFormat="1" applyFont="1" applyAlignment="1">
      <alignment horizontal="center" vertical="center"/>
    </xf>
    <xf numFmtId="0" fontId="30" fillId="0" borderId="4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2" fillId="0" borderId="14" xfId="0" applyFont="1" applyBorder="1" applyAlignment="1">
      <alignment horizontal="right" vertical="center"/>
    </xf>
    <xf numFmtId="170" fontId="32" fillId="0" borderId="14" xfId="0" applyNumberFormat="1" applyFont="1" applyBorder="1" applyAlignment="1">
      <alignment horizontal="center" vertical="center"/>
    </xf>
    <xf numFmtId="0" fontId="29" fillId="22" borderId="31" xfId="0" applyFont="1" applyFill="1" applyBorder="1" applyAlignment="1">
      <alignment vertical="center"/>
    </xf>
    <xf numFmtId="0" fontId="29" fillId="22" borderId="32" xfId="0" applyFont="1" applyFill="1" applyBorder="1" applyAlignment="1">
      <alignment horizontal="right" vertical="center"/>
    </xf>
    <xf numFmtId="170" fontId="29" fillId="0" borderId="7" xfId="0" applyNumberFormat="1" applyFont="1" applyBorder="1" applyAlignment="1">
      <alignment horizontal="center" vertical="center"/>
    </xf>
    <xf numFmtId="10" fontId="29" fillId="0" borderId="7" xfId="0" applyNumberFormat="1" applyFont="1" applyBorder="1" applyAlignment="1">
      <alignment horizontal="center" vertical="center"/>
    </xf>
    <xf numFmtId="0" fontId="4" fillId="22" borderId="31" xfId="0" applyFont="1" applyFill="1" applyBorder="1" applyAlignment="1">
      <alignment vertical="center"/>
    </xf>
    <xf numFmtId="170" fontId="4" fillId="22" borderId="32" xfId="0" applyNumberFormat="1" applyFont="1" applyFill="1" applyBorder="1" applyAlignment="1">
      <alignment horizontal="right" vertical="center"/>
    </xf>
    <xf numFmtId="170" fontId="4" fillId="22" borderId="7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0" fontId="4" fillId="22" borderId="7" xfId="0" applyNumberFormat="1" applyFont="1" applyFill="1" applyBorder="1" applyAlignment="1">
      <alignment horizontal="center" vertical="center"/>
    </xf>
    <xf numFmtId="0" fontId="2" fillId="0" borderId="49" xfId="0" applyFont="1" applyBorder="1" applyAlignment="1">
      <alignment vertical="center"/>
    </xf>
    <xf numFmtId="176" fontId="10" fillId="0" borderId="15" xfId="0" applyNumberFormat="1" applyFont="1" applyBorder="1" applyAlignment="1">
      <alignment horizontal="center" vertical="center"/>
    </xf>
    <xf numFmtId="43" fontId="27" fillId="0" borderId="12" xfId="0" applyNumberFormat="1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177" fontId="27" fillId="0" borderId="16" xfId="0" applyNumberFormat="1" applyFont="1" applyBorder="1" applyAlignment="1">
      <alignment horizontal="center" vertical="center"/>
    </xf>
    <xf numFmtId="170" fontId="32" fillId="0" borderId="16" xfId="0" applyNumberFormat="1" applyFont="1" applyBorder="1" applyAlignment="1">
      <alignment horizontal="center" vertical="center"/>
    </xf>
    <xf numFmtId="170" fontId="30" fillId="0" borderId="5" xfId="0" applyNumberFormat="1" applyFont="1" applyBorder="1" applyAlignment="1">
      <alignment horizontal="center" vertical="center"/>
    </xf>
    <xf numFmtId="10" fontId="30" fillId="0" borderId="5" xfId="0" applyNumberFormat="1" applyFont="1" applyBorder="1" applyAlignment="1">
      <alignment horizontal="center" vertical="center"/>
    </xf>
    <xf numFmtId="170" fontId="4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/>
    </xf>
    <xf numFmtId="9" fontId="10" fillId="0" borderId="50" xfId="0" applyNumberFormat="1" applyFont="1" applyBorder="1" applyAlignment="1">
      <alignment horizontal="center" vertical="center"/>
    </xf>
    <xf numFmtId="0" fontId="33" fillId="0" borderId="0" xfId="8" applyFont="1"/>
    <xf numFmtId="4" fontId="2" fillId="0" borderId="0" xfId="8" applyNumberFormat="1" applyAlignment="1">
      <alignment horizontal="right"/>
    </xf>
    <xf numFmtId="10" fontId="4" fillId="0" borderId="14" xfId="8" applyNumberFormat="1" applyFont="1" applyBorder="1" applyAlignment="1">
      <alignment vertical="center" wrapText="1"/>
    </xf>
    <xf numFmtId="0" fontId="4" fillId="0" borderId="7" xfId="8" applyFont="1" applyBorder="1" applyAlignment="1">
      <alignment horizontal="center" vertical="center"/>
    </xf>
    <xf numFmtId="0" fontId="2" fillId="0" borderId="7" xfId="8" applyBorder="1" applyAlignment="1">
      <alignment vertical="center"/>
    </xf>
    <xf numFmtId="0" fontId="5" fillId="0" borderId="7" xfId="8" applyFont="1" applyBorder="1" applyAlignment="1">
      <alignment vertical="center"/>
    </xf>
    <xf numFmtId="4" fontId="4" fillId="0" borderId="7" xfId="8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/>
    </xf>
    <xf numFmtId="0" fontId="2" fillId="0" borderId="7" xfId="8" applyBorder="1" applyAlignment="1">
      <alignment horizontal="center" vertical="center"/>
    </xf>
    <xf numFmtId="0" fontId="25" fillId="0" borderId="7" xfId="8" applyFont="1" applyBorder="1" applyAlignment="1">
      <alignment horizontal="center" vertical="center" wrapText="1"/>
    </xf>
    <xf numFmtId="0" fontId="2" fillId="0" borderId="7" xfId="8" applyBorder="1" applyAlignment="1">
      <alignment horizontal="left" vertical="center" wrapText="1"/>
    </xf>
    <xf numFmtId="10" fontId="2" fillId="0" borderId="7" xfId="2" applyNumberFormat="1" applyFont="1" applyFill="1" applyBorder="1" applyAlignment="1">
      <alignment horizontal="center" vertical="center"/>
    </xf>
    <xf numFmtId="170" fontId="2" fillId="0" borderId="7" xfId="1" applyNumberFormat="1" applyFont="1" applyFill="1" applyBorder="1" applyAlignment="1">
      <alignment horizontal="right" vertical="center"/>
    </xf>
    <xf numFmtId="2" fontId="2" fillId="0" borderId="7" xfId="8" applyNumberFormat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4" fontId="2" fillId="0" borderId="7" xfId="8" applyNumberFormat="1" applyBorder="1" applyAlignment="1">
      <alignment horizontal="center" vertical="center"/>
    </xf>
    <xf numFmtId="0" fontId="2" fillId="0" borderId="7" xfId="8" applyBorder="1" applyAlignment="1">
      <alignment horizontal="left" vertical="center"/>
    </xf>
    <xf numFmtId="10" fontId="4" fillId="0" borderId="14" xfId="2" applyNumberFormat="1" applyFont="1" applyFill="1" applyBorder="1" applyAlignment="1" applyProtection="1">
      <alignment vertical="center" wrapText="1"/>
    </xf>
    <xf numFmtId="175" fontId="2" fillId="0" borderId="0" xfId="8" applyNumberFormat="1"/>
    <xf numFmtId="0" fontId="3" fillId="0" borderId="7" xfId="0" applyFont="1" applyBorder="1" applyAlignment="1">
      <alignment horizontal="center" vertical="center" wrapText="1"/>
    </xf>
    <xf numFmtId="0" fontId="4" fillId="23" borderId="14" xfId="8" applyFont="1" applyFill="1" applyBorder="1" applyAlignment="1">
      <alignment horizontal="center" vertical="center"/>
    </xf>
    <xf numFmtId="178" fontId="2" fillId="0" borderId="0" xfId="8" applyNumberFormat="1"/>
    <xf numFmtId="0" fontId="2" fillId="3" borderId="14" xfId="8" applyFill="1" applyBorder="1" applyAlignment="1">
      <alignment horizontal="left" vertical="center" wrapText="1"/>
    </xf>
    <xf numFmtId="170" fontId="6" fillId="0" borderId="7" xfId="1" applyNumberFormat="1" applyFont="1" applyFill="1" applyBorder="1" applyAlignment="1">
      <alignment horizontal="right" vertical="center"/>
    </xf>
    <xf numFmtId="43" fontId="2" fillId="0" borderId="0" xfId="27" applyFont="1" applyAlignment="1">
      <alignment horizontal="center" vertical="center"/>
    </xf>
    <xf numFmtId="0" fontId="33" fillId="0" borderId="0" xfId="8" applyFont="1" applyAlignment="1">
      <alignment horizontal="center" vertical="center"/>
    </xf>
    <xf numFmtId="43" fontId="2" fillId="0" borderId="0" xfId="8" applyNumberFormat="1" applyAlignment="1">
      <alignment horizontal="center" vertical="center"/>
    </xf>
    <xf numFmtId="170" fontId="8" fillId="0" borderId="7" xfId="1" applyNumberFormat="1" applyFont="1" applyFill="1" applyBorder="1" applyAlignment="1">
      <alignment horizontal="right" vertical="center"/>
    </xf>
    <xf numFmtId="10" fontId="4" fillId="0" borderId="7" xfId="2" applyNumberFormat="1" applyFont="1" applyFill="1" applyBorder="1" applyAlignment="1">
      <alignment horizontal="center" vertical="center"/>
    </xf>
    <xf numFmtId="179" fontId="2" fillId="0" borderId="0" xfId="8" applyNumberFormat="1" applyAlignment="1">
      <alignment horizontal="center" vertical="center"/>
    </xf>
    <xf numFmtId="2" fontId="10" fillId="0" borderId="7" xfId="1" applyNumberFormat="1" applyFont="1" applyFill="1" applyBorder="1" applyAlignment="1">
      <alignment horizontal="right"/>
    </xf>
    <xf numFmtId="170" fontId="10" fillId="0" borderId="7" xfId="1" applyNumberFormat="1" applyFont="1" applyFill="1" applyBorder="1" applyAlignment="1">
      <alignment horizontal="right"/>
    </xf>
    <xf numFmtId="0" fontId="4" fillId="0" borderId="7" xfId="8" applyFont="1" applyBorder="1" applyAlignment="1">
      <alignment horizontal="right" vertical="center" wrapText="1"/>
    </xf>
    <xf numFmtId="0" fontId="4" fillId="4" borderId="6" xfId="8" applyFont="1" applyFill="1" applyBorder="1" applyAlignment="1">
      <alignment horizontal="center" vertical="center"/>
    </xf>
    <xf numFmtId="0" fontId="4" fillId="4" borderId="7" xfId="8" applyFont="1" applyFill="1" applyBorder="1" applyAlignment="1">
      <alignment vertical="center"/>
    </xf>
    <xf numFmtId="0" fontId="4" fillId="4" borderId="7" xfId="8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/>
    </xf>
    <xf numFmtId="0" fontId="2" fillId="0" borderId="6" xfId="8" applyBorder="1" applyAlignment="1">
      <alignment horizontal="center" vertical="center"/>
    </xf>
    <xf numFmtId="10" fontId="4" fillId="0" borderId="7" xfId="8" applyNumberFormat="1" applyFont="1" applyBorder="1" applyAlignment="1">
      <alignment vertical="center" wrapText="1"/>
    </xf>
    <xf numFmtId="10" fontId="4" fillId="0" borderId="8" xfId="2" applyNumberFormat="1" applyFont="1" applyFill="1" applyBorder="1" applyAlignment="1" applyProtection="1">
      <alignment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4" fillId="4" borderId="8" xfId="8" applyFont="1" applyFill="1" applyBorder="1" applyAlignment="1">
      <alignment horizontal="center" vertical="center"/>
    </xf>
    <xf numFmtId="0" fontId="8" fillId="2" borderId="8" xfId="8" applyFont="1" applyFill="1" applyBorder="1" applyAlignment="1">
      <alignment horizontal="center" vertical="center"/>
    </xf>
    <xf numFmtId="10" fontId="2" fillId="0" borderId="8" xfId="2" applyNumberFormat="1" applyFont="1" applyFill="1" applyBorder="1" applyAlignment="1">
      <alignment horizontal="center" vertical="center"/>
    </xf>
    <xf numFmtId="170" fontId="5" fillId="0" borderId="7" xfId="1" applyNumberFormat="1" applyFont="1" applyFill="1" applyBorder="1" applyAlignment="1">
      <alignment horizontal="right" vertical="center"/>
    </xf>
    <xf numFmtId="10" fontId="4" fillId="0" borderId="8" xfId="2" applyNumberFormat="1" applyFont="1" applyFill="1" applyBorder="1" applyAlignment="1">
      <alignment horizontal="center" vertical="center"/>
    </xf>
    <xf numFmtId="170" fontId="8" fillId="4" borderId="10" xfId="1" applyNumberFormat="1" applyFont="1" applyFill="1" applyBorder="1" applyAlignment="1">
      <alignment horizontal="right" vertical="center"/>
    </xf>
    <xf numFmtId="10" fontId="4" fillId="4" borderId="11" xfId="2" applyNumberFormat="1" applyFont="1" applyFill="1" applyBorder="1" applyAlignment="1">
      <alignment horizontal="center" vertical="center"/>
    </xf>
    <xf numFmtId="4" fontId="4" fillId="0" borderId="53" xfId="8" applyNumberFormat="1" applyFont="1" applyBorder="1" applyAlignment="1">
      <alignment horizontal="right"/>
    </xf>
    <xf numFmtId="170" fontId="4" fillId="0" borderId="11" xfId="1" applyNumberFormat="1" applyFont="1" applyFill="1" applyBorder="1" applyAlignment="1">
      <alignment horizontal="right"/>
    </xf>
    <xf numFmtId="0" fontId="0" fillId="5" borderId="1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44" fontId="0" fillId="5" borderId="2" xfId="1" applyFont="1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0" xfId="0" applyFill="1" applyAlignment="1">
      <alignment vertical="center"/>
    </xf>
    <xf numFmtId="44" fontId="0" fillId="5" borderId="0" xfId="1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44" fontId="2" fillId="5" borderId="0" xfId="1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44" fontId="5" fillId="3" borderId="7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/>
    </xf>
    <xf numFmtId="44" fontId="5" fillId="0" borderId="7" xfId="1" applyFont="1" applyFill="1" applyBorder="1" applyAlignment="1">
      <alignment vertical="center"/>
    </xf>
    <xf numFmtId="0" fontId="12" fillId="5" borderId="0" xfId="0" applyFont="1" applyFill="1" applyAlignment="1">
      <alignment vertical="center"/>
    </xf>
    <xf numFmtId="44" fontId="12" fillId="5" borderId="0" xfId="1" applyFont="1" applyFill="1" applyBorder="1" applyAlignment="1">
      <alignment vertical="center"/>
    </xf>
    <xf numFmtId="1" fontId="5" fillId="3" borderId="7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vertical="center"/>
    </xf>
    <xf numFmtId="0" fontId="0" fillId="5" borderId="49" xfId="0" applyFill="1" applyBorder="1" applyAlignment="1">
      <alignment vertical="center"/>
    </xf>
    <xf numFmtId="0" fontId="12" fillId="5" borderId="15" xfId="0" applyFont="1" applyFill="1" applyBorder="1" applyAlignment="1">
      <alignment vertical="center"/>
    </xf>
    <xf numFmtId="44" fontId="12" fillId="5" borderId="15" xfId="1" applyFont="1" applyFill="1" applyBorder="1" applyAlignment="1">
      <alignment vertical="center"/>
    </xf>
    <xf numFmtId="44" fontId="0" fillId="5" borderId="3" xfId="1" applyFont="1" applyFill="1" applyBorder="1" applyAlignment="1">
      <alignment vertical="center"/>
    </xf>
    <xf numFmtId="44" fontId="0" fillId="5" borderId="5" xfId="1" applyFont="1" applyFill="1" applyBorder="1" applyAlignment="1">
      <alignment vertical="center"/>
    </xf>
    <xf numFmtId="44" fontId="12" fillId="5" borderId="5" xfId="1" applyFont="1" applyFill="1" applyBorder="1" applyAlignment="1">
      <alignment vertical="center"/>
    </xf>
    <xf numFmtId="44" fontId="5" fillId="3" borderId="7" xfId="1" applyFont="1" applyFill="1" applyBorder="1" applyAlignment="1">
      <alignment vertical="center"/>
    </xf>
    <xf numFmtId="44" fontId="12" fillId="5" borderId="50" xfId="1" applyFont="1" applyFill="1" applyBorder="1" applyAlignment="1">
      <alignment vertical="center"/>
    </xf>
    <xf numFmtId="0" fontId="10" fillId="24" borderId="0" xfId="8" applyFont="1" applyFill="1" applyAlignment="1">
      <alignment horizontal="center" vertical="center"/>
    </xf>
    <xf numFmtId="49" fontId="32" fillId="0" borderId="0" xfId="15" applyNumberFormat="1" applyFont="1" applyAlignment="1">
      <alignment horizontal="center" vertical="center" wrapText="1"/>
    </xf>
    <xf numFmtId="0" fontId="0" fillId="0" borderId="0" xfId="8" applyFont="1"/>
    <xf numFmtId="4" fontId="5" fillId="0" borderId="6" xfId="8" applyNumberFormat="1" applyFont="1" applyBorder="1" applyAlignment="1">
      <alignment vertical="center"/>
    </xf>
    <xf numFmtId="4" fontId="5" fillId="0" borderId="7" xfId="8" applyNumberFormat="1" applyFont="1" applyBorder="1" applyAlignment="1">
      <alignment vertical="center"/>
    </xf>
    <xf numFmtId="0" fontId="2" fillId="4" borderId="9" xfId="8" applyFill="1" applyBorder="1" applyAlignment="1">
      <alignment vertical="center"/>
    </xf>
    <xf numFmtId="0" fontId="2" fillId="4" borderId="10" xfId="8" applyFill="1" applyBorder="1" applyAlignment="1">
      <alignment vertical="center"/>
    </xf>
    <xf numFmtId="4" fontId="5" fillId="4" borderId="10" xfId="8" applyNumberFormat="1" applyFont="1" applyFill="1" applyBorder="1" applyAlignment="1">
      <alignment vertical="center"/>
    </xf>
    <xf numFmtId="0" fontId="8" fillId="2" borderId="7" xfId="8" applyFont="1" applyFill="1" applyBorder="1" applyAlignment="1">
      <alignment vertical="center" wrapText="1"/>
    </xf>
    <xf numFmtId="0" fontId="2" fillId="2" borderId="7" xfId="8" applyFill="1" applyBorder="1" applyAlignment="1">
      <alignment vertical="center"/>
    </xf>
    <xf numFmtId="0" fontId="8" fillId="2" borderId="31" xfId="8" applyFont="1" applyFill="1" applyBorder="1" applyAlignment="1">
      <alignment vertical="center"/>
    </xf>
    <xf numFmtId="0" fontId="8" fillId="2" borderId="78" xfId="8" applyFont="1" applyFill="1" applyBorder="1" applyAlignment="1">
      <alignment vertical="center"/>
    </xf>
    <xf numFmtId="0" fontId="8" fillId="2" borderId="32" xfId="8" applyFont="1" applyFill="1" applyBorder="1" applyAlignment="1">
      <alignment vertical="center"/>
    </xf>
    <xf numFmtId="0" fontId="10" fillId="5" borderId="0" xfId="8" applyFont="1" applyFill="1" applyAlignment="1">
      <alignment horizontal="center" vertical="center" wrapText="1"/>
    </xf>
    <xf numFmtId="10" fontId="4" fillId="0" borderId="0" xfId="2" applyNumberFormat="1" applyFont="1" applyFill="1" applyBorder="1" applyAlignment="1" applyProtection="1">
      <alignment vertical="center" wrapText="1"/>
    </xf>
    <xf numFmtId="0" fontId="4" fillId="4" borderId="0" xfId="8" applyFont="1" applyFill="1" applyAlignment="1">
      <alignment horizontal="center" vertical="center"/>
    </xf>
    <xf numFmtId="0" fontId="8" fillId="2" borderId="0" xfId="8" applyFont="1" applyFill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/>
    </xf>
    <xf numFmtId="174" fontId="2" fillId="0" borderId="0" xfId="8" applyNumberFormat="1"/>
    <xf numFmtId="44" fontId="35" fillId="5" borderId="0" xfId="1" applyFont="1" applyFill="1" applyBorder="1" applyAlignment="1">
      <alignment horizontal="center" vertical="center"/>
    </xf>
    <xf numFmtId="0" fontId="36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" fontId="5" fillId="3" borderId="31" xfId="1" applyNumberFormat="1" applyFont="1" applyFill="1" applyBorder="1" applyAlignment="1">
      <alignment horizontal="right" vertical="center"/>
    </xf>
    <xf numFmtId="1" fontId="5" fillId="3" borderId="78" xfId="1" applyNumberFormat="1" applyFont="1" applyFill="1" applyBorder="1" applyAlignment="1">
      <alignment horizontal="right" vertical="center"/>
    </xf>
    <xf numFmtId="1" fontId="5" fillId="3" borderId="32" xfId="1" applyNumberFormat="1" applyFont="1" applyFill="1" applyBorder="1" applyAlignment="1">
      <alignment horizontal="right" vertical="center"/>
    </xf>
    <xf numFmtId="0" fontId="4" fillId="3" borderId="27" xfId="0" applyFont="1" applyFill="1" applyBorder="1" applyAlignment="1">
      <alignment horizontal="justify" vertical="center" wrapText="1"/>
    </xf>
    <xf numFmtId="0" fontId="4" fillId="3" borderId="30" xfId="0" applyFont="1" applyFill="1" applyBorder="1" applyAlignment="1">
      <alignment horizontal="justify" vertical="center" wrapText="1"/>
    </xf>
    <xf numFmtId="0" fontId="2" fillId="3" borderId="80" xfId="0" applyFont="1" applyFill="1" applyBorder="1" applyAlignment="1">
      <alignment horizontal="justify" vertical="center" wrapText="1"/>
    </xf>
    <xf numFmtId="0" fontId="2" fillId="3" borderId="53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2" fillId="3" borderId="32" xfId="0" applyFont="1" applyFill="1" applyBorder="1" applyAlignment="1">
      <alignment horizontal="justify" vertical="center" wrapText="1"/>
    </xf>
    <xf numFmtId="0" fontId="2" fillId="3" borderId="7" xfId="0" applyFont="1" applyFill="1" applyBorder="1" applyAlignment="1">
      <alignment horizontal="justify" vertical="center" wrapText="1"/>
    </xf>
    <xf numFmtId="0" fontId="2" fillId="3" borderId="8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26" xfId="0" applyFont="1" applyFill="1" applyBorder="1" applyAlignment="1">
      <alignment horizontal="justify" vertical="center" wrapText="1"/>
    </xf>
    <xf numFmtId="0" fontId="2" fillId="3" borderId="10" xfId="0" applyFont="1" applyFill="1" applyBorder="1" applyAlignment="1">
      <alignment horizontal="justify" vertical="center" wrapText="1"/>
    </xf>
    <xf numFmtId="0" fontId="2" fillId="3" borderId="11" xfId="0" applyFont="1" applyFill="1" applyBorder="1" applyAlignment="1">
      <alignment horizontal="justify" vertical="center" wrapText="1"/>
    </xf>
    <xf numFmtId="4" fontId="4" fillId="0" borderId="27" xfId="8" applyNumberFormat="1" applyFont="1" applyBorder="1" applyAlignment="1">
      <alignment horizontal="right"/>
    </xf>
    <xf numFmtId="4" fontId="4" fillId="0" borderId="80" xfId="8" applyNumberFormat="1" applyFont="1" applyBorder="1" applyAlignment="1">
      <alignment horizontal="right"/>
    </xf>
    <xf numFmtId="4" fontId="4" fillId="0" borderId="9" xfId="8" applyNumberFormat="1" applyFont="1" applyBorder="1" applyAlignment="1">
      <alignment horizontal="right"/>
    </xf>
    <xf numFmtId="4" fontId="4" fillId="0" borderId="10" xfId="8" applyNumberFormat="1" applyFont="1" applyBorder="1" applyAlignment="1">
      <alignment horizontal="right"/>
    </xf>
    <xf numFmtId="0" fontId="4" fillId="0" borderId="6" xfId="8" applyFont="1" applyBorder="1" applyAlignment="1">
      <alignment horizontal="left" vertical="center" wrapText="1"/>
    </xf>
    <xf numFmtId="0" fontId="4" fillId="0" borderId="7" xfId="8" applyFont="1" applyBorder="1" applyAlignment="1">
      <alignment horizontal="left" vertical="center" wrapText="1"/>
    </xf>
    <xf numFmtId="0" fontId="4" fillId="0" borderId="7" xfId="8" applyFont="1" applyBorder="1" applyAlignment="1">
      <alignment horizontal="right" vertical="center" wrapText="1"/>
    </xf>
    <xf numFmtId="0" fontId="10" fillId="24" borderId="4" xfId="8" applyFont="1" applyFill="1" applyBorder="1" applyAlignment="1">
      <alignment horizontal="center" vertical="center"/>
    </xf>
    <xf numFmtId="0" fontId="10" fillId="24" borderId="0" xfId="8" applyFont="1" applyFill="1" applyAlignment="1">
      <alignment horizontal="center" vertical="center"/>
    </xf>
    <xf numFmtId="0" fontId="10" fillId="24" borderId="5" xfId="8" applyFont="1" applyFill="1" applyBorder="1" applyAlignment="1">
      <alignment horizontal="center" vertical="center"/>
    </xf>
    <xf numFmtId="49" fontId="34" fillId="0" borderId="1" xfId="8" applyNumberFormat="1" applyFont="1" applyBorder="1" applyAlignment="1">
      <alignment horizontal="center" vertical="top" wrapText="1"/>
    </xf>
    <xf numFmtId="49" fontId="34" fillId="0" borderId="2" xfId="8" applyNumberFormat="1" applyFont="1" applyBorder="1" applyAlignment="1">
      <alignment horizontal="center" vertical="top" wrapText="1"/>
    </xf>
    <xf numFmtId="49" fontId="34" fillId="0" borderId="4" xfId="8" applyNumberFormat="1" applyFont="1" applyBorder="1" applyAlignment="1">
      <alignment horizontal="center" vertical="top" wrapText="1"/>
    </xf>
    <xf numFmtId="49" fontId="34" fillId="0" borderId="0" xfId="8" applyNumberFormat="1" applyFont="1" applyAlignment="1">
      <alignment horizontal="center" vertical="top" wrapText="1"/>
    </xf>
    <xf numFmtId="0" fontId="4" fillId="0" borderId="49" xfId="8" applyFont="1" applyBorder="1" applyAlignment="1">
      <alignment horizontal="center" vertical="top" wrapText="1"/>
    </xf>
    <xf numFmtId="0" fontId="4" fillId="0" borderId="15" xfId="8" applyFont="1" applyBorder="1" applyAlignment="1">
      <alignment horizontal="center" vertical="top" wrapText="1"/>
    </xf>
    <xf numFmtId="0" fontId="10" fillId="5" borderId="1" xfId="8" applyFont="1" applyFill="1" applyBorder="1" applyAlignment="1">
      <alignment horizontal="center" vertical="center" wrapText="1"/>
    </xf>
    <xf numFmtId="0" fontId="10" fillId="5" borderId="2" xfId="8" applyFont="1" applyFill="1" applyBorder="1" applyAlignment="1">
      <alignment horizontal="center" vertical="center" wrapText="1"/>
    </xf>
    <xf numFmtId="0" fontId="10" fillId="5" borderId="3" xfId="8" applyFont="1" applyFill="1" applyBorder="1" applyAlignment="1">
      <alignment horizontal="center" vertical="center" wrapText="1"/>
    </xf>
    <xf numFmtId="49" fontId="32" fillId="0" borderId="1" xfId="15" applyNumberFormat="1" applyFont="1" applyBorder="1" applyAlignment="1">
      <alignment horizontal="center" vertical="center" wrapText="1"/>
    </xf>
    <xf numFmtId="49" fontId="32" fillId="0" borderId="2" xfId="15" applyNumberFormat="1" applyFont="1" applyBorder="1" applyAlignment="1">
      <alignment horizontal="center" vertical="center" wrapText="1"/>
    </xf>
    <xf numFmtId="49" fontId="32" fillId="0" borderId="3" xfId="15" applyNumberFormat="1" applyFont="1" applyBorder="1" applyAlignment="1">
      <alignment horizontal="center" vertical="center" wrapText="1"/>
    </xf>
    <xf numFmtId="49" fontId="32" fillId="0" borderId="4" xfId="15" applyNumberFormat="1" applyFont="1" applyBorder="1" applyAlignment="1">
      <alignment horizontal="center" vertical="center" wrapText="1"/>
    </xf>
    <xf numFmtId="49" fontId="32" fillId="0" borderId="0" xfId="15" applyNumberFormat="1" applyFont="1" applyAlignment="1">
      <alignment horizontal="center" vertical="center" wrapText="1"/>
    </xf>
    <xf numFmtId="49" fontId="32" fillId="0" borderId="5" xfId="15" applyNumberFormat="1" applyFont="1" applyBorder="1" applyAlignment="1">
      <alignment horizontal="center" vertical="center" wrapText="1"/>
    </xf>
    <xf numFmtId="49" fontId="32" fillId="0" borderId="49" xfId="15" applyNumberFormat="1" applyFont="1" applyBorder="1" applyAlignment="1">
      <alignment horizontal="center" vertical="center" wrapText="1"/>
    </xf>
    <xf numFmtId="49" fontId="32" fillId="0" borderId="15" xfId="15" applyNumberFormat="1" applyFont="1" applyBorder="1" applyAlignment="1">
      <alignment horizontal="center" vertical="center" wrapText="1"/>
    </xf>
    <xf numFmtId="49" fontId="32" fillId="0" borderId="50" xfId="15" applyNumberFormat="1" applyFont="1" applyBorder="1" applyAlignment="1">
      <alignment horizontal="center" vertical="center" wrapText="1"/>
    </xf>
    <xf numFmtId="0" fontId="4" fillId="0" borderId="31" xfId="8" applyFont="1" applyBorder="1" applyAlignment="1">
      <alignment horizontal="center" vertical="center"/>
    </xf>
    <xf numFmtId="0" fontId="4" fillId="0" borderId="78" xfId="8" applyFont="1" applyBorder="1" applyAlignment="1">
      <alignment horizontal="center" vertical="center"/>
    </xf>
    <xf numFmtId="0" fontId="4" fillId="0" borderId="32" xfId="8" applyFont="1" applyBorder="1" applyAlignment="1">
      <alignment horizontal="center" vertical="center"/>
    </xf>
    <xf numFmtId="4" fontId="5" fillId="0" borderId="7" xfId="8" applyNumberFormat="1" applyFont="1" applyBorder="1" applyAlignment="1">
      <alignment horizontal="right" vertical="center"/>
    </xf>
    <xf numFmtId="0" fontId="2" fillId="0" borderId="7" xfId="8" applyBorder="1" applyAlignment="1">
      <alignment horizontal="right"/>
    </xf>
    <xf numFmtId="0" fontId="2" fillId="0" borderId="7" xfId="8" applyBorder="1" applyAlignment="1">
      <alignment horizontal="center" vertical="center"/>
    </xf>
    <xf numFmtId="4" fontId="6" fillId="0" borderId="7" xfId="8" applyNumberFormat="1" applyFont="1" applyBorder="1" applyAlignment="1">
      <alignment horizontal="right" vertical="center"/>
    </xf>
    <xf numFmtId="0" fontId="8" fillId="0" borderId="7" xfId="8" applyFont="1" applyBorder="1" applyAlignment="1">
      <alignment horizontal="left" vertical="center" wrapText="1"/>
    </xf>
    <xf numFmtId="0" fontId="4" fillId="0" borderId="7" xfId="8" applyFont="1" applyBorder="1" applyAlignment="1">
      <alignment horizontal="center" vertical="center"/>
    </xf>
    <xf numFmtId="0" fontId="2" fillId="0" borderId="31" xfId="8" applyBorder="1" applyAlignment="1">
      <alignment horizontal="center" vertical="center"/>
    </xf>
    <xf numFmtId="0" fontId="2" fillId="0" borderId="78" xfId="8" applyBorder="1" applyAlignment="1">
      <alignment horizontal="center" vertical="center"/>
    </xf>
    <xf numFmtId="0" fontId="2" fillId="0" borderId="32" xfId="8" applyBorder="1" applyAlignment="1">
      <alignment horizontal="center" vertical="center"/>
    </xf>
    <xf numFmtId="0" fontId="4" fillId="0" borderId="14" xfId="8" applyFont="1" applyBorder="1" applyAlignment="1">
      <alignment horizontal="left" vertical="center" wrapText="1"/>
    </xf>
    <xf numFmtId="0" fontId="4" fillId="0" borderId="14" xfId="8" applyFont="1" applyBorder="1" applyAlignment="1">
      <alignment horizontal="right" vertical="center" wrapText="1"/>
    </xf>
    <xf numFmtId="0" fontId="10" fillId="0" borderId="1" xfId="8" applyFont="1" applyBorder="1" applyAlignment="1">
      <alignment horizontal="center" vertical="center"/>
    </xf>
    <xf numFmtId="0" fontId="10" fillId="0" borderId="2" xfId="8" applyFont="1" applyBorder="1" applyAlignment="1">
      <alignment horizontal="center" vertical="center"/>
    </xf>
    <xf numFmtId="0" fontId="10" fillId="0" borderId="3" xfId="8" applyFont="1" applyBorder="1" applyAlignment="1">
      <alignment horizontal="center" vertical="center"/>
    </xf>
    <xf numFmtId="0" fontId="8" fillId="5" borderId="1" xfId="8" applyFont="1" applyFill="1" applyBorder="1" applyAlignment="1">
      <alignment horizontal="center" vertical="center" wrapText="1"/>
    </xf>
    <xf numFmtId="0" fontId="8" fillId="5" borderId="2" xfId="8" applyFont="1" applyFill="1" applyBorder="1" applyAlignment="1">
      <alignment horizontal="center" vertical="center" wrapText="1"/>
    </xf>
    <xf numFmtId="0" fontId="8" fillId="5" borderId="3" xfId="8" applyFont="1" applyFill="1" applyBorder="1" applyAlignment="1">
      <alignment horizontal="center" vertical="center" wrapText="1"/>
    </xf>
    <xf numFmtId="0" fontId="8" fillId="0" borderId="1" xfId="8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0" fontId="8" fillId="0" borderId="49" xfId="8" applyFont="1" applyBorder="1" applyAlignment="1">
      <alignment horizontal="center" vertical="center" wrapText="1"/>
    </xf>
    <xf numFmtId="0" fontId="8" fillId="0" borderId="15" xfId="8" applyFont="1" applyBorder="1" applyAlignment="1">
      <alignment horizontal="center" vertical="center" wrapText="1"/>
    </xf>
    <xf numFmtId="0" fontId="29" fillId="22" borderId="38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vertical="center"/>
    </xf>
    <xf numFmtId="0" fontId="29" fillId="22" borderId="82" xfId="0" applyFont="1" applyFill="1" applyBorder="1" applyAlignment="1">
      <alignment horizontal="left" vertical="center" wrapText="1"/>
    </xf>
    <xf numFmtId="0" fontId="29" fillId="22" borderId="74" xfId="0" applyFont="1" applyFill="1" applyBorder="1" applyAlignment="1">
      <alignment horizontal="left" vertical="center" wrapText="1"/>
    </xf>
    <xf numFmtId="0" fontId="29" fillId="22" borderId="40" xfId="0" applyFont="1" applyFill="1" applyBorder="1" applyAlignment="1">
      <alignment horizontal="left" vertical="center" wrapText="1"/>
    </xf>
    <xf numFmtId="0" fontId="29" fillId="22" borderId="36" xfId="0" applyFont="1" applyFill="1" applyBorder="1" applyAlignment="1">
      <alignment horizontal="center" vertical="center"/>
    </xf>
    <xf numFmtId="0" fontId="29" fillId="22" borderId="22" xfId="0" applyFont="1" applyFill="1" applyBorder="1" applyAlignment="1">
      <alignment horizontal="center" vertical="center"/>
    </xf>
    <xf numFmtId="0" fontId="29" fillId="22" borderId="81" xfId="0" applyFont="1" applyFill="1" applyBorder="1" applyAlignment="1">
      <alignment horizontal="center" vertical="center"/>
    </xf>
    <xf numFmtId="0" fontId="29" fillId="22" borderId="43" xfId="0" applyFont="1" applyFill="1" applyBorder="1" applyAlignment="1">
      <alignment horizontal="center" vertical="center"/>
    </xf>
    <xf numFmtId="0" fontId="2" fillId="0" borderId="8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6" fillId="21" borderId="12" xfId="0" applyFont="1" applyFill="1" applyBorder="1" applyAlignment="1">
      <alignment horizontal="center" vertical="center" wrapText="1"/>
    </xf>
    <xf numFmtId="0" fontId="26" fillId="21" borderId="13" xfId="0" applyFont="1" applyFill="1" applyBorder="1" applyAlignment="1">
      <alignment horizontal="center" vertical="center" wrapText="1"/>
    </xf>
    <xf numFmtId="0" fontId="26" fillId="21" borderId="16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1" fillId="5" borderId="31" xfId="8" applyFont="1" applyFill="1" applyBorder="1" applyAlignment="1">
      <alignment horizontal="right" vertical="center"/>
    </xf>
    <xf numFmtId="0" fontId="1" fillId="5" borderId="78" xfId="8" applyFont="1" applyFill="1" applyBorder="1" applyAlignment="1">
      <alignment horizontal="right" vertical="center"/>
    </xf>
    <xf numFmtId="0" fontId="1" fillId="5" borderId="32" xfId="8" applyFont="1" applyFill="1" applyBorder="1" applyAlignment="1">
      <alignment horizontal="right" vertical="center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1" fillId="5" borderId="25" xfId="8" applyFont="1" applyFill="1" applyBorder="1" applyAlignment="1">
      <alignment horizontal="right" vertical="center"/>
    </xf>
    <xf numFmtId="0" fontId="1" fillId="5" borderId="77" xfId="8" applyFont="1" applyFill="1" applyBorder="1" applyAlignment="1">
      <alignment horizontal="right" vertical="center"/>
    </xf>
    <xf numFmtId="0" fontId="1" fillId="5" borderId="26" xfId="8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0" xfId="0" applyFont="1" applyFill="1" applyAlignment="1">
      <alignment horizontal="left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77" xfId="0" applyFont="1" applyFill="1" applyBorder="1" applyAlignment="1">
      <alignment horizontal="center" vertical="center" wrapText="1"/>
    </xf>
    <xf numFmtId="0" fontId="5" fillId="5" borderId="7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2" xfId="22" applyFont="1" applyFill="1" applyBorder="1" applyAlignment="1">
      <alignment horizontal="center" vertical="center"/>
    </xf>
    <xf numFmtId="0" fontId="8" fillId="4" borderId="13" xfId="22" applyFont="1" applyFill="1" applyBorder="1" applyAlignment="1">
      <alignment horizontal="center" vertical="center"/>
    </xf>
    <xf numFmtId="0" fontId="8" fillId="4" borderId="16" xfId="22" applyFont="1" applyFill="1" applyBorder="1" applyAlignment="1">
      <alignment horizontal="center" vertical="center"/>
    </xf>
    <xf numFmtId="0" fontId="8" fillId="4" borderId="4" xfId="22" applyFont="1" applyFill="1" applyBorder="1" applyAlignment="1">
      <alignment horizontal="center" vertical="center"/>
    </xf>
    <xf numFmtId="0" fontId="8" fillId="4" borderId="0" xfId="22" applyFont="1" applyFill="1" applyAlignment="1">
      <alignment horizontal="center" vertical="center"/>
    </xf>
    <xf numFmtId="0" fontId="8" fillId="4" borderId="5" xfId="22" applyFont="1" applyFill="1" applyBorder="1" applyAlignment="1">
      <alignment horizontal="center" vertical="center"/>
    </xf>
    <xf numFmtId="0" fontId="9" fillId="0" borderId="12" xfId="22" applyFont="1" applyBorder="1" applyAlignment="1">
      <alignment horizontal="center" vertical="center"/>
    </xf>
    <xf numFmtId="0" fontId="9" fillId="0" borderId="16" xfId="22" applyFont="1" applyBorder="1" applyAlignment="1">
      <alignment horizontal="center" vertical="center"/>
    </xf>
    <xf numFmtId="0" fontId="9" fillId="0" borderId="12" xfId="22" applyFont="1" applyBorder="1" applyAlignment="1">
      <alignment horizontal="center" vertical="center" wrapText="1"/>
    </xf>
    <xf numFmtId="0" fontId="9" fillId="0" borderId="16" xfId="22" applyFont="1" applyBorder="1" applyAlignment="1">
      <alignment horizontal="center" vertical="center" wrapText="1"/>
    </xf>
    <xf numFmtId="49" fontId="9" fillId="4" borderId="12" xfId="22" applyNumberFormat="1" applyFont="1" applyFill="1" applyBorder="1" applyAlignment="1">
      <alignment horizontal="right" vertical="center"/>
    </xf>
    <xf numFmtId="49" fontId="9" fillId="4" borderId="13" xfId="22" applyNumberFormat="1" applyFont="1" applyFill="1" applyBorder="1" applyAlignment="1">
      <alignment horizontal="right" vertical="center"/>
    </xf>
    <xf numFmtId="49" fontId="9" fillId="4" borderId="16" xfId="22" applyNumberFormat="1" applyFont="1" applyFill="1" applyBorder="1" applyAlignment="1">
      <alignment horizontal="right" vertical="center"/>
    </xf>
    <xf numFmtId="0" fontId="9" fillId="0" borderId="75" xfId="22" applyFont="1" applyBorder="1" applyAlignment="1">
      <alignment horizontal="left" vertical="center" wrapText="1"/>
    </xf>
    <xf numFmtId="0" fontId="9" fillId="0" borderId="76" xfId="22" applyFont="1" applyBorder="1" applyAlignment="1">
      <alignment horizontal="left" vertical="center" wrapText="1"/>
    </xf>
    <xf numFmtId="0" fontId="9" fillId="0" borderId="75" xfId="22" applyFont="1" applyBorder="1" applyAlignment="1">
      <alignment horizontal="center" vertical="center" wrapText="1"/>
    </xf>
    <xf numFmtId="0" fontId="9" fillId="0" borderId="76" xfId="22" applyFont="1" applyBorder="1" applyAlignment="1">
      <alignment horizontal="center" vertical="center" wrapText="1"/>
    </xf>
    <xf numFmtId="0" fontId="9" fillId="0" borderId="1" xfId="22" applyFont="1" applyBorder="1" applyAlignment="1">
      <alignment horizontal="center" vertical="center"/>
    </xf>
    <xf numFmtId="0" fontId="9" fillId="0" borderId="2" xfId="22" applyFont="1" applyBorder="1" applyAlignment="1">
      <alignment horizontal="center" vertical="center"/>
    </xf>
    <xf numFmtId="0" fontId="9" fillId="0" borderId="3" xfId="22" applyFont="1" applyBorder="1" applyAlignment="1">
      <alignment horizontal="center" vertical="center"/>
    </xf>
    <xf numFmtId="0" fontId="9" fillId="0" borderId="49" xfId="22" applyFont="1" applyBorder="1" applyAlignment="1">
      <alignment horizontal="center" vertical="center"/>
    </xf>
    <xf numFmtId="0" fontId="9" fillId="0" borderId="15" xfId="22" applyFont="1" applyBorder="1" applyAlignment="1">
      <alignment horizontal="center" vertical="center"/>
    </xf>
    <xf numFmtId="0" fontId="9" fillId="0" borderId="50" xfId="22" applyFont="1" applyBorder="1" applyAlignment="1">
      <alignment horizontal="center" vertical="center"/>
    </xf>
    <xf numFmtId="0" fontId="9" fillId="0" borderId="1" xfId="22" applyFont="1" applyBorder="1" applyAlignment="1">
      <alignment horizontal="left" vertical="center" wrapText="1"/>
    </xf>
    <xf numFmtId="0" fontId="9" fillId="0" borderId="3" xfId="22" applyFont="1" applyBorder="1" applyAlignment="1">
      <alignment horizontal="left" vertical="center" wrapText="1"/>
    </xf>
    <xf numFmtId="0" fontId="9" fillId="0" borderId="49" xfId="22" applyFont="1" applyBorder="1" applyAlignment="1">
      <alignment horizontal="left" vertical="center" wrapText="1"/>
    </xf>
    <xf numFmtId="0" fontId="9" fillId="0" borderId="50" xfId="22" applyFont="1" applyBorder="1" applyAlignment="1">
      <alignment horizontal="left" vertical="center" wrapText="1"/>
    </xf>
    <xf numFmtId="0" fontId="19" fillId="7" borderId="49" xfId="17" applyFont="1" applyFill="1" applyBorder="1" applyAlignment="1">
      <alignment horizontal="left" vertical="center"/>
    </xf>
    <xf numFmtId="0" fontId="19" fillId="7" borderId="15" xfId="17" applyFont="1" applyFill="1" applyBorder="1" applyAlignment="1">
      <alignment horizontal="left" vertical="center"/>
    </xf>
    <xf numFmtId="0" fontId="17" fillId="0" borderId="0" xfId="17" applyFont="1" applyAlignment="1">
      <alignment horizontal="center"/>
    </xf>
    <xf numFmtId="0" fontId="19" fillId="7" borderId="49" xfId="0" applyFont="1" applyFill="1" applyBorder="1" applyAlignment="1">
      <alignment horizontal="left" vertical="center"/>
    </xf>
    <xf numFmtId="0" fontId="19" fillId="7" borderId="15" xfId="0" applyFont="1" applyFill="1" applyBorder="1" applyAlignment="1">
      <alignment horizontal="left" vertical="center"/>
    </xf>
    <xf numFmtId="0" fontId="19" fillId="7" borderId="50" xfId="17" applyFont="1" applyFill="1" applyBorder="1" applyAlignment="1">
      <alignment horizontal="right" vertical="center"/>
    </xf>
    <xf numFmtId="0" fontId="19" fillId="7" borderId="15" xfId="17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5" xfId="17" applyFont="1" applyFill="1" applyBorder="1" applyAlignment="1">
      <alignment horizontal="right" vertical="center"/>
    </xf>
    <xf numFmtId="0" fontId="19" fillId="7" borderId="0" xfId="17" applyFont="1" applyFill="1" applyAlignment="1">
      <alignment horizontal="right" vertical="center"/>
    </xf>
    <xf numFmtId="0" fontId="20" fillId="7" borderId="15" xfId="17" applyFont="1" applyFill="1" applyBorder="1" applyAlignment="1">
      <alignment horizontal="left" vertical="center" wrapText="1"/>
    </xf>
    <xf numFmtId="0" fontId="23" fillId="7" borderId="15" xfId="17" applyFont="1" applyFill="1" applyBorder="1" applyAlignment="1">
      <alignment horizontal="center" vertical="center"/>
    </xf>
    <xf numFmtId="0" fontId="23" fillId="7" borderId="50" xfId="17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right" vertical="center"/>
    </xf>
    <xf numFmtId="0" fontId="19" fillId="7" borderId="50" xfId="0" applyFont="1" applyFill="1" applyBorder="1" applyAlignment="1">
      <alignment horizontal="right" vertical="center"/>
    </xf>
    <xf numFmtId="0" fontId="19" fillId="7" borderId="0" xfId="0" applyFont="1" applyFill="1" applyAlignment="1">
      <alignment horizontal="right" vertical="center"/>
    </xf>
    <xf numFmtId="0" fontId="20" fillId="7" borderId="15" xfId="0" applyFont="1" applyFill="1" applyBorder="1" applyAlignment="1">
      <alignment horizontal="left" vertical="center" wrapText="1"/>
    </xf>
    <xf numFmtId="0" fontId="23" fillId="7" borderId="15" xfId="0" applyFont="1" applyFill="1" applyBorder="1" applyAlignment="1">
      <alignment horizontal="center" vertical="center"/>
    </xf>
    <xf numFmtId="0" fontId="23" fillId="7" borderId="50" xfId="0" applyFont="1" applyFill="1" applyBorder="1" applyAlignment="1">
      <alignment horizontal="center" vertical="center"/>
    </xf>
    <xf numFmtId="0" fontId="24" fillId="0" borderId="49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40" xfId="0" applyFont="1" applyBorder="1" applyAlignment="1">
      <alignment horizontal="left" vertical="center"/>
    </xf>
    <xf numFmtId="0" fontId="20" fillId="0" borderId="0" xfId="17" applyFont="1" applyAlignment="1">
      <alignment horizontal="center"/>
    </xf>
    <xf numFmtId="0" fontId="10" fillId="5" borderId="12" xfId="17" applyFont="1" applyFill="1" applyBorder="1" applyAlignment="1">
      <alignment horizontal="center" vertical="center" wrapText="1"/>
    </xf>
    <xf numFmtId="0" fontId="10" fillId="5" borderId="13" xfId="17" applyFont="1" applyFill="1" applyBorder="1" applyAlignment="1">
      <alignment horizontal="center" vertical="center" wrapText="1"/>
    </xf>
    <xf numFmtId="0" fontId="10" fillId="5" borderId="16" xfId="17" applyFont="1" applyFill="1" applyBorder="1" applyAlignment="1">
      <alignment horizontal="center" vertical="center" wrapText="1"/>
    </xf>
    <xf numFmtId="0" fontId="19" fillId="13" borderId="7" xfId="20" applyFont="1" applyFill="1" applyBorder="1" applyAlignment="1">
      <alignment horizontal="left" vertical="center"/>
    </xf>
    <xf numFmtId="0" fontId="17" fillId="5" borderId="7" xfId="20" applyFont="1" applyFill="1" applyBorder="1" applyAlignment="1">
      <alignment horizontal="left" vertical="center"/>
    </xf>
    <xf numFmtId="0" fontId="19" fillId="14" borderId="7" xfId="20" applyFont="1" applyFill="1" applyBorder="1" applyAlignment="1">
      <alignment horizontal="left" vertical="center"/>
    </xf>
    <xf numFmtId="0" fontId="17" fillId="5" borderId="0" xfId="20" applyFont="1" applyFill="1" applyAlignment="1">
      <alignment horizontal="center" vertical="center"/>
    </xf>
    <xf numFmtId="0" fontId="8" fillId="10" borderId="37" xfId="20" applyFont="1" applyFill="1" applyBorder="1" applyAlignment="1">
      <alignment horizontal="center" vertical="center"/>
    </xf>
    <xf numFmtId="0" fontId="8" fillId="10" borderId="72" xfId="20" applyFont="1" applyFill="1" applyBorder="1" applyAlignment="1">
      <alignment horizontal="center" vertical="center"/>
    </xf>
    <xf numFmtId="0" fontId="8" fillId="10" borderId="38" xfId="20" applyFont="1" applyFill="1" applyBorder="1" applyAlignment="1">
      <alignment horizontal="center" vertical="center"/>
    </xf>
    <xf numFmtId="0" fontId="19" fillId="5" borderId="73" xfId="20" applyFont="1" applyFill="1" applyBorder="1" applyAlignment="1">
      <alignment horizontal="center" vertical="center"/>
    </xf>
    <xf numFmtId="0" fontId="19" fillId="5" borderId="0" xfId="20" applyFont="1" applyFill="1" applyAlignment="1">
      <alignment horizontal="center" vertical="center"/>
    </xf>
    <xf numFmtId="0" fontId="17" fillId="11" borderId="7" xfId="20" applyFont="1" applyFill="1" applyBorder="1" applyAlignment="1">
      <alignment horizontal="left" vertical="center"/>
    </xf>
    <xf numFmtId="0" fontId="4" fillId="5" borderId="46" xfId="0" applyFont="1" applyFill="1" applyBorder="1" applyAlignment="1">
      <alignment horizontal="left" vertical="center" wrapText="1"/>
    </xf>
    <xf numFmtId="0" fontId="4" fillId="5" borderId="71" xfId="0" applyFont="1" applyFill="1" applyBorder="1" applyAlignment="1">
      <alignment horizontal="left" vertical="center" wrapText="1"/>
    </xf>
    <xf numFmtId="0" fontId="4" fillId="5" borderId="54" xfId="0" applyFont="1" applyFill="1" applyBorder="1" applyAlignment="1">
      <alignment horizontal="left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16" fillId="0" borderId="12" xfId="10" applyFont="1" applyBorder="1" applyAlignment="1">
      <alignment horizontal="left" vertical="center"/>
    </xf>
    <xf numFmtId="0" fontId="16" fillId="0" borderId="13" xfId="10" applyFont="1" applyBorder="1" applyAlignment="1">
      <alignment horizontal="left" vertical="center"/>
    </xf>
    <xf numFmtId="0" fontId="16" fillId="0" borderId="16" xfId="10" applyFont="1" applyBorder="1" applyAlignment="1">
      <alignment horizontal="left" vertical="center"/>
    </xf>
    <xf numFmtId="4" fontId="8" fillId="9" borderId="64" xfId="10" applyNumberFormat="1" applyFont="1" applyFill="1" applyBorder="1" applyAlignment="1">
      <alignment horizontal="center" vertical="center"/>
    </xf>
    <xf numFmtId="0" fontId="8" fillId="9" borderId="1" xfId="8" applyFont="1" applyFill="1" applyBorder="1" applyAlignment="1">
      <alignment horizontal="center" vertical="center" wrapText="1"/>
    </xf>
    <xf numFmtId="0" fontId="8" fillId="9" borderId="2" xfId="8" applyFont="1" applyFill="1" applyBorder="1" applyAlignment="1">
      <alignment horizontal="center" vertical="center" wrapText="1"/>
    </xf>
    <xf numFmtId="0" fontId="8" fillId="9" borderId="3" xfId="8" applyFont="1" applyFill="1" applyBorder="1" applyAlignment="1">
      <alignment horizontal="center" vertical="center" wrapText="1"/>
    </xf>
    <xf numFmtId="0" fontId="8" fillId="9" borderId="49" xfId="8" applyFont="1" applyFill="1" applyBorder="1" applyAlignment="1">
      <alignment horizontal="center" vertical="center" wrapText="1"/>
    </xf>
    <xf numFmtId="0" fontId="8" fillId="9" borderId="15" xfId="8" applyFont="1" applyFill="1" applyBorder="1" applyAlignment="1">
      <alignment horizontal="center" vertical="center" wrapText="1"/>
    </xf>
    <xf numFmtId="0" fontId="8" fillId="9" borderId="50" xfId="8" applyFont="1" applyFill="1" applyBorder="1" applyAlignment="1">
      <alignment horizontal="center" vertical="center" wrapText="1"/>
    </xf>
    <xf numFmtId="0" fontId="5" fillId="5" borderId="58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67" xfId="0" applyFont="1" applyFill="1" applyBorder="1" applyAlignment="1">
      <alignment horizontal="left" vertical="center" wrapText="1"/>
    </xf>
    <xf numFmtId="0" fontId="5" fillId="5" borderId="57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5" fillId="5" borderId="66" xfId="0" applyFont="1" applyFill="1" applyBorder="1" applyAlignment="1">
      <alignment horizontal="left" vertical="center" wrapText="1"/>
    </xf>
    <xf numFmtId="0" fontId="5" fillId="5" borderId="59" xfId="0" applyFont="1" applyFill="1" applyBorder="1" applyAlignment="1">
      <alignment horizontal="left" vertical="center" wrapText="1"/>
    </xf>
    <xf numFmtId="0" fontId="5" fillId="5" borderId="15" xfId="0" applyFont="1" applyFill="1" applyBorder="1" applyAlignment="1">
      <alignment horizontal="left" vertical="center" wrapText="1"/>
    </xf>
    <xf numFmtId="0" fontId="5" fillId="5" borderId="68" xfId="0" applyFont="1" applyFill="1" applyBorder="1" applyAlignment="1">
      <alignment horizontal="left" vertical="center" wrapText="1"/>
    </xf>
    <xf numFmtId="49" fontId="13" fillId="0" borderId="55" xfId="0" applyNumberFormat="1" applyFont="1" applyBorder="1" applyAlignment="1">
      <alignment horizontal="center" vertical="top" wrapText="1"/>
    </xf>
    <xf numFmtId="49" fontId="13" fillId="0" borderId="56" xfId="0" applyNumberFormat="1" applyFont="1" applyBorder="1" applyAlignment="1">
      <alignment horizontal="center" vertical="top" wrapText="1"/>
    </xf>
    <xf numFmtId="49" fontId="13" fillId="0" borderId="65" xfId="0" applyNumberFormat="1" applyFont="1" applyBorder="1" applyAlignment="1">
      <alignment horizontal="center" vertical="top" wrapText="1"/>
    </xf>
    <xf numFmtId="49" fontId="13" fillId="0" borderId="57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top" wrapText="1"/>
    </xf>
    <xf numFmtId="49" fontId="13" fillId="0" borderId="66" xfId="0" applyNumberFormat="1" applyFont="1" applyBorder="1" applyAlignment="1">
      <alignment horizontal="center" vertical="top" wrapText="1"/>
    </xf>
    <xf numFmtId="0" fontId="4" fillId="5" borderId="1" xfId="18" applyFont="1" applyFill="1" applyBorder="1" applyAlignment="1">
      <alignment horizontal="center" vertical="center"/>
    </xf>
    <xf numFmtId="0" fontId="4" fillId="5" borderId="2" xfId="18" applyFont="1" applyFill="1" applyBorder="1" applyAlignment="1">
      <alignment horizontal="center" vertical="center"/>
    </xf>
    <xf numFmtId="0" fontId="4" fillId="5" borderId="3" xfId="18" applyFont="1" applyFill="1" applyBorder="1" applyAlignment="1">
      <alignment horizontal="center" vertical="center"/>
    </xf>
    <xf numFmtId="0" fontId="4" fillId="5" borderId="49" xfId="18" applyFont="1" applyFill="1" applyBorder="1" applyAlignment="1">
      <alignment horizontal="center" vertical="center"/>
    </xf>
    <xf numFmtId="0" fontId="4" fillId="5" borderId="15" xfId="18" applyFont="1" applyFill="1" applyBorder="1" applyAlignment="1">
      <alignment horizontal="center" vertical="center"/>
    </xf>
    <xf numFmtId="0" fontId="4" fillId="5" borderId="50" xfId="18" applyFont="1" applyFill="1" applyBorder="1" applyAlignment="1">
      <alignment horizontal="center" vertical="center"/>
    </xf>
    <xf numFmtId="0" fontId="8" fillId="3" borderId="1" xfId="18" applyFont="1" applyFill="1" applyBorder="1" applyAlignment="1">
      <alignment horizontal="center" vertical="center"/>
    </xf>
    <xf numFmtId="0" fontId="8" fillId="3" borderId="51" xfId="18" applyFont="1" applyFill="1" applyBorder="1" applyAlignment="1">
      <alignment horizontal="center" vertical="center"/>
    </xf>
    <xf numFmtId="0" fontId="8" fillId="3" borderId="49" xfId="18" applyFont="1" applyFill="1" applyBorder="1" applyAlignment="1">
      <alignment horizontal="center" vertical="center"/>
    </xf>
    <xf numFmtId="0" fontId="8" fillId="3" borderId="40" xfId="18" applyFont="1" applyFill="1" applyBorder="1" applyAlignment="1">
      <alignment horizontal="center" vertical="center"/>
    </xf>
    <xf numFmtId="0" fontId="1" fillId="0" borderId="37" xfId="18" applyFont="1" applyBorder="1" applyAlignment="1">
      <alignment horizontal="center" vertical="center" wrapText="1"/>
    </xf>
    <xf numFmtId="0" fontId="1" fillId="0" borderId="38" xfId="18" applyFont="1" applyBorder="1" applyAlignment="1">
      <alignment horizontal="center" vertical="center" wrapText="1"/>
    </xf>
    <xf numFmtId="0" fontId="1" fillId="0" borderId="39" xfId="18" applyFont="1" applyBorder="1" applyAlignment="1">
      <alignment horizontal="center" vertical="center" wrapText="1"/>
    </xf>
    <xf numFmtId="0" fontId="1" fillId="0" borderId="40" xfId="18" applyFont="1" applyBorder="1" applyAlignment="1">
      <alignment horizontal="center" vertical="center" wrapText="1"/>
    </xf>
    <xf numFmtId="49" fontId="3" fillId="3" borderId="1" xfId="18" applyNumberFormat="1" applyFont="1" applyFill="1" applyBorder="1" applyAlignment="1">
      <alignment horizontal="center" vertical="center" wrapText="1"/>
    </xf>
    <xf numFmtId="49" fontId="3" fillId="3" borderId="2" xfId="18" applyNumberFormat="1" applyFont="1" applyFill="1" applyBorder="1" applyAlignment="1">
      <alignment horizontal="center" vertical="center" wrapText="1"/>
    </xf>
    <xf numFmtId="49" fontId="3" fillId="3" borderId="3" xfId="18" applyNumberFormat="1" applyFont="1" applyFill="1" applyBorder="1" applyAlignment="1">
      <alignment horizontal="center" vertical="center" wrapText="1"/>
    </xf>
    <xf numFmtId="49" fontId="3" fillId="3" borderId="20" xfId="18" applyNumberFormat="1" applyFont="1" applyFill="1" applyBorder="1" applyAlignment="1">
      <alignment horizontal="center" vertical="center" wrapText="1"/>
    </xf>
    <xf numFmtId="49" fontId="3" fillId="3" borderId="21" xfId="18" applyNumberFormat="1" applyFont="1" applyFill="1" applyBorder="1" applyAlignment="1">
      <alignment horizontal="center" vertical="center" wrapText="1"/>
    </xf>
    <xf numFmtId="49" fontId="3" fillId="3" borderId="52" xfId="18" applyNumberFormat="1" applyFont="1" applyFill="1" applyBorder="1" applyAlignment="1">
      <alignment horizontal="center" vertical="center" wrapText="1"/>
    </xf>
    <xf numFmtId="49" fontId="3" fillId="8" borderId="1" xfId="18" applyNumberFormat="1" applyFont="1" applyFill="1" applyBorder="1" applyAlignment="1">
      <alignment horizontal="center" vertical="center" wrapText="1"/>
    </xf>
    <xf numFmtId="49" fontId="3" fillId="8" borderId="2" xfId="18" applyNumberFormat="1" applyFont="1" applyFill="1" applyBorder="1" applyAlignment="1">
      <alignment horizontal="center" vertical="center" wrapText="1"/>
    </xf>
    <xf numFmtId="49" fontId="3" fillId="8" borderId="3" xfId="18" applyNumberFormat="1" applyFont="1" applyFill="1" applyBorder="1" applyAlignment="1">
      <alignment horizontal="center" vertical="center" wrapText="1"/>
    </xf>
    <xf numFmtId="49" fontId="3" fillId="8" borderId="20" xfId="18" applyNumberFormat="1" applyFont="1" applyFill="1" applyBorder="1" applyAlignment="1">
      <alignment horizontal="center" vertical="center" wrapText="1"/>
    </xf>
    <xf numFmtId="49" fontId="3" fillId="8" borderId="21" xfId="18" applyNumberFormat="1" applyFont="1" applyFill="1" applyBorder="1" applyAlignment="1">
      <alignment horizontal="center" vertical="center" wrapText="1"/>
    </xf>
    <xf numFmtId="49" fontId="3" fillId="8" borderId="52" xfId="18" applyNumberFormat="1" applyFont="1" applyFill="1" applyBorder="1" applyAlignment="1">
      <alignment horizontal="center" vertical="center" wrapText="1"/>
    </xf>
    <xf numFmtId="0" fontId="2" fillId="0" borderId="1" xfId="18" applyFont="1" applyBorder="1" applyAlignment="1">
      <alignment horizontal="center" vertical="center"/>
    </xf>
    <xf numFmtId="0" fontId="2" fillId="0" borderId="2" xfId="18" applyFont="1" applyBorder="1" applyAlignment="1">
      <alignment horizontal="center" vertical="center"/>
    </xf>
    <xf numFmtId="0" fontId="3" fillId="0" borderId="17" xfId="18" applyFont="1" applyBorder="1" applyAlignment="1">
      <alignment horizontal="center" vertical="center"/>
    </xf>
    <xf numFmtId="0" fontId="3" fillId="0" borderId="22" xfId="18" applyFont="1" applyBorder="1" applyAlignment="1">
      <alignment horizontal="center" vertical="center"/>
    </xf>
    <xf numFmtId="0" fontId="2" fillId="0" borderId="36" xfId="18" applyFont="1" applyBorder="1" applyAlignment="1">
      <alignment horizontal="center" vertical="center"/>
    </xf>
    <xf numFmtId="0" fontId="2" fillId="0" borderId="43" xfId="18" applyFont="1" applyBorder="1" applyAlignment="1">
      <alignment horizontal="center" vertical="center"/>
    </xf>
    <xf numFmtId="0" fontId="3" fillId="0" borderId="18" xfId="18" applyFont="1" applyBorder="1" applyAlignment="1">
      <alignment horizontal="center" vertical="center"/>
    </xf>
    <xf numFmtId="0" fontId="3" fillId="0" borderId="23" xfId="18" applyFont="1" applyBorder="1" applyAlignment="1">
      <alignment horizontal="center" vertical="center"/>
    </xf>
    <xf numFmtId="0" fontId="2" fillId="0" borderId="41" xfId="18" applyFont="1" applyBorder="1" applyAlignment="1">
      <alignment horizontal="left" vertical="center"/>
    </xf>
    <xf numFmtId="0" fontId="2" fillId="0" borderId="44" xfId="18" applyFont="1" applyBorder="1" applyAlignment="1">
      <alignment horizontal="left" vertical="center"/>
    </xf>
    <xf numFmtId="0" fontId="3" fillId="0" borderId="19" xfId="18" applyFont="1" applyBorder="1" applyAlignment="1">
      <alignment horizontal="center" vertical="center"/>
    </xf>
    <xf numFmtId="0" fontId="3" fillId="0" borderId="24" xfId="18" applyFont="1" applyBorder="1" applyAlignment="1">
      <alignment horizontal="center" vertical="center"/>
    </xf>
    <xf numFmtId="10" fontId="2" fillId="5" borderId="42" xfId="29" applyNumberFormat="1" applyFont="1" applyFill="1" applyBorder="1" applyAlignment="1" applyProtection="1">
      <alignment horizontal="center" vertical="center"/>
      <protection locked="0"/>
    </xf>
    <xf numFmtId="10" fontId="2" fillId="5" borderId="45" xfId="29" applyNumberFormat="1" applyFont="1" applyFill="1" applyBorder="1" applyAlignment="1" applyProtection="1">
      <alignment horizontal="center" vertical="center"/>
      <protection locked="0"/>
    </xf>
    <xf numFmtId="0" fontId="2" fillId="0" borderId="12" xfId="18" applyFont="1" applyBorder="1" applyAlignment="1">
      <alignment horizontal="center" vertical="center"/>
    </xf>
    <xf numFmtId="0" fontId="2" fillId="0" borderId="13" xfId="18" applyFont="1" applyBorder="1" applyAlignment="1">
      <alignment horizontal="center" vertical="center"/>
    </xf>
    <xf numFmtId="0" fontId="4" fillId="6" borderId="28" xfId="18" applyFont="1" applyFill="1" applyBorder="1" applyAlignment="1">
      <alignment horizontal="justify" vertical="center" wrapText="1"/>
    </xf>
    <xf numFmtId="0" fontId="4" fillId="6" borderId="29" xfId="18" applyFont="1" applyFill="1" applyBorder="1" applyAlignment="1">
      <alignment horizontal="justify" vertical="center" wrapText="1"/>
    </xf>
    <xf numFmtId="49" fontId="3" fillId="6" borderId="34" xfId="18" applyNumberFormat="1" applyFont="1" applyFill="1" applyBorder="1" applyAlignment="1">
      <alignment horizontal="center" vertical="center" wrapText="1"/>
    </xf>
    <xf numFmtId="49" fontId="3" fillId="6" borderId="35" xfId="18" applyNumberFormat="1" applyFont="1" applyFill="1" applyBorder="1" applyAlignment="1">
      <alignment horizontal="center" vertical="center" wrapText="1"/>
    </xf>
    <xf numFmtId="49" fontId="3" fillId="6" borderId="29" xfId="18" applyNumberFormat="1" applyFont="1" applyFill="1" applyBorder="1" applyAlignment="1">
      <alignment horizontal="center" vertical="center" wrapText="1"/>
    </xf>
    <xf numFmtId="10" fontId="2" fillId="0" borderId="47" xfId="29" applyNumberFormat="1" applyFont="1" applyBorder="1" applyAlignment="1">
      <alignment horizontal="center" vertical="center"/>
    </xf>
    <xf numFmtId="10" fontId="2" fillId="0" borderId="48" xfId="29" applyNumberFormat="1" applyFont="1" applyBorder="1" applyAlignment="1">
      <alignment horizontal="center" vertical="center"/>
    </xf>
    <xf numFmtId="0" fontId="4" fillId="0" borderId="33" xfId="18" applyFont="1" applyBorder="1" applyAlignment="1">
      <alignment horizontal="right" vertical="center"/>
    </xf>
    <xf numFmtId="0" fontId="4" fillId="0" borderId="26" xfId="18" applyFont="1" applyBorder="1" applyAlignment="1">
      <alignment horizontal="right" vertical="center"/>
    </xf>
    <xf numFmtId="10" fontId="1" fillId="0" borderId="36" xfId="29" applyNumberFormat="1" applyFont="1" applyBorder="1" applyAlignment="1">
      <alignment horizontal="center" vertical="center" wrapText="1"/>
    </xf>
    <xf numFmtId="10" fontId="1" fillId="0" borderId="22" xfId="29" applyNumberFormat="1" applyFont="1" applyBorder="1" applyAlignment="1">
      <alignment horizontal="center" vertical="center" wrapText="1"/>
    </xf>
    <xf numFmtId="0" fontId="1" fillId="0" borderId="42" xfId="18" applyFont="1" applyBorder="1" applyAlignment="1">
      <alignment horizontal="center" vertical="center" wrapText="1"/>
    </xf>
    <xf numFmtId="0" fontId="1" fillId="0" borderId="24" xfId="18" applyFont="1" applyBorder="1" applyAlignment="1">
      <alignment horizontal="center" vertical="center" wrapText="1"/>
    </xf>
    <xf numFmtId="10" fontId="2" fillId="0" borderId="31" xfId="29" applyNumberFormat="1" applyFont="1" applyBorder="1" applyAlignment="1">
      <alignment horizontal="center" vertical="center"/>
    </xf>
    <xf numFmtId="10" fontId="2" fillId="0" borderId="32" xfId="29" applyNumberFormat="1" applyFont="1" applyBorder="1" applyAlignment="1">
      <alignment horizontal="center" vertical="center"/>
    </xf>
    <xf numFmtId="10" fontId="0" fillId="0" borderId="31" xfId="29" applyNumberFormat="1" applyFont="1" applyBorder="1" applyAlignment="1">
      <alignment horizontal="center" vertical="center"/>
    </xf>
    <xf numFmtId="10" fontId="0" fillId="0" borderId="32" xfId="29" applyNumberFormat="1" applyFont="1" applyBorder="1" applyAlignment="1">
      <alignment horizontal="center" vertical="center"/>
    </xf>
    <xf numFmtId="10" fontId="2" fillId="0" borderId="25" xfId="29" applyNumberFormat="1" applyFont="1" applyBorder="1" applyAlignment="1">
      <alignment horizontal="center" vertical="center"/>
    </xf>
    <xf numFmtId="10" fontId="2" fillId="0" borderId="26" xfId="29" applyNumberFormat="1" applyFont="1" applyBorder="1" applyAlignment="1">
      <alignment horizontal="center" vertical="center"/>
    </xf>
    <xf numFmtId="10" fontId="0" fillId="0" borderId="25" xfId="29" applyNumberFormat="1" applyFont="1" applyBorder="1" applyAlignment="1">
      <alignment horizontal="center" vertical="center"/>
    </xf>
    <xf numFmtId="10" fontId="0" fillId="0" borderId="26" xfId="29" applyNumberFormat="1" applyFont="1" applyBorder="1" applyAlignment="1">
      <alignment horizontal="center" vertical="center"/>
    </xf>
    <xf numFmtId="10" fontId="2" fillId="0" borderId="28" xfId="29" applyNumberFormat="1" applyFont="1" applyBorder="1" applyAlignment="1">
      <alignment horizontal="center" vertical="center"/>
    </xf>
    <xf numFmtId="10" fontId="2" fillId="0" borderId="30" xfId="29" applyNumberFormat="1" applyFont="1" applyBorder="1" applyAlignment="1">
      <alignment horizontal="center" vertical="center"/>
    </xf>
    <xf numFmtId="10" fontId="0" fillId="0" borderId="28" xfId="29" applyNumberFormat="1" applyFont="1" applyBorder="1" applyAlignment="1">
      <alignment horizontal="center" vertical="center"/>
    </xf>
    <xf numFmtId="10" fontId="0" fillId="0" borderId="30" xfId="29" applyNumberFormat="1" applyFont="1" applyBorder="1" applyAlignment="1">
      <alignment horizontal="center" vertical="center"/>
    </xf>
    <xf numFmtId="0" fontId="6" fillId="0" borderId="28" xfId="18" applyFont="1" applyBorder="1" applyAlignment="1">
      <alignment horizontal="center"/>
    </xf>
    <xf numFmtId="0" fontId="6" fillId="0" borderId="30" xfId="18" applyFont="1" applyBorder="1" applyAlignment="1">
      <alignment horizontal="center"/>
    </xf>
    <xf numFmtId="0" fontId="12" fillId="0" borderId="28" xfId="18" applyFont="1" applyBorder="1" applyAlignment="1">
      <alignment horizontal="center"/>
    </xf>
    <xf numFmtId="0" fontId="12" fillId="0" borderId="30" xfId="18" applyFont="1" applyBorder="1" applyAlignment="1">
      <alignment horizontal="center"/>
    </xf>
    <xf numFmtId="0" fontId="2" fillId="0" borderId="15" xfId="9" applyBorder="1" applyAlignment="1">
      <alignment horizontal="center"/>
    </xf>
    <xf numFmtId="49" fontId="5" fillId="3" borderId="12" xfId="18" applyNumberFormat="1" applyFont="1" applyFill="1" applyBorder="1" applyAlignment="1">
      <alignment horizontal="center" vertical="center"/>
    </xf>
    <xf numFmtId="49" fontId="5" fillId="3" borderId="13" xfId="18" applyNumberFormat="1" applyFont="1" applyFill="1" applyBorder="1" applyAlignment="1">
      <alignment horizontal="center" vertical="center"/>
    </xf>
    <xf numFmtId="49" fontId="5" fillId="3" borderId="16" xfId="18" applyNumberFormat="1" applyFont="1" applyFill="1" applyBorder="1" applyAlignment="1">
      <alignment horizontal="center" vertical="center"/>
    </xf>
    <xf numFmtId="0" fontId="3" fillId="5" borderId="25" xfId="18" applyFont="1" applyFill="1" applyBorder="1" applyAlignment="1">
      <alignment horizontal="center" vertical="center"/>
    </xf>
    <xf numFmtId="0" fontId="3" fillId="5" borderId="26" xfId="18" applyFont="1" applyFill="1" applyBorder="1" applyAlignment="1">
      <alignment horizontal="center" vertical="center"/>
    </xf>
    <xf numFmtId="0" fontId="2" fillId="0" borderId="12" xfId="18" applyFont="1" applyBorder="1" applyAlignment="1">
      <alignment vertical="center"/>
    </xf>
    <xf numFmtId="0" fontId="2" fillId="0" borderId="13" xfId="18" applyFont="1" applyBorder="1" applyAlignment="1">
      <alignment vertical="center"/>
    </xf>
    <xf numFmtId="0" fontId="7" fillId="4" borderId="12" xfId="9" applyFont="1" applyFill="1" applyBorder="1" applyAlignment="1">
      <alignment horizontal="center" vertical="center"/>
    </xf>
    <xf numFmtId="0" fontId="7" fillId="4" borderId="13" xfId="9" applyFont="1" applyFill="1" applyBorder="1" applyAlignment="1">
      <alignment horizontal="center" vertical="center"/>
    </xf>
    <xf numFmtId="0" fontId="7" fillId="4" borderId="16" xfId="9" applyFont="1" applyFill="1" applyBorder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0" fontId="7" fillId="0" borderId="0" xfId="9" applyFont="1" applyAlignment="1">
      <alignment horizontal="center" vertical="center"/>
    </xf>
    <xf numFmtId="0" fontId="7" fillId="0" borderId="5" xfId="9" applyFont="1" applyBorder="1" applyAlignment="1">
      <alignment horizontal="center" vertical="center"/>
    </xf>
    <xf numFmtId="0" fontId="8" fillId="2" borderId="12" xfId="9" applyFont="1" applyFill="1" applyBorder="1" applyAlignment="1">
      <alignment horizontal="center" vertical="center" wrapText="1"/>
    </xf>
    <xf numFmtId="0" fontId="8" fillId="2" borderId="13" xfId="9" applyFont="1" applyFill="1" applyBorder="1" applyAlignment="1">
      <alignment horizontal="center" vertical="center" wrapText="1"/>
    </xf>
    <xf numFmtId="0" fontId="8" fillId="2" borderId="16" xfId="9" applyFont="1" applyFill="1" applyBorder="1" applyAlignment="1">
      <alignment horizontal="center" vertical="center" wrapText="1"/>
    </xf>
    <xf numFmtId="0" fontId="9" fillId="0" borderId="15" xfId="9" applyFont="1" applyBorder="1" applyAlignment="1">
      <alignment horizontal="left" vertical="center" wrapText="1"/>
    </xf>
    <xf numFmtId="0" fontId="9" fillId="0" borderId="50" xfId="9" applyFont="1" applyBorder="1" applyAlignment="1">
      <alignment horizontal="left" vertical="center" wrapText="1"/>
    </xf>
    <xf numFmtId="49" fontId="10" fillId="4" borderId="12" xfId="18" applyNumberFormat="1" applyFont="1" applyFill="1" applyBorder="1" applyAlignment="1">
      <alignment horizontal="center" vertical="center"/>
    </xf>
    <xf numFmtId="49" fontId="10" fillId="4" borderId="13" xfId="18" applyNumberFormat="1" applyFont="1" applyFill="1" applyBorder="1" applyAlignment="1">
      <alignment horizontal="center" vertical="center"/>
    </xf>
    <xf numFmtId="49" fontId="10" fillId="4" borderId="16" xfId="18" applyNumberFormat="1" applyFont="1" applyFill="1" applyBorder="1" applyAlignment="1">
      <alignment horizontal="center" vertical="center"/>
    </xf>
    <xf numFmtId="0" fontId="4" fillId="3" borderId="6" xfId="12" applyFont="1" applyFill="1" applyBorder="1" applyAlignment="1">
      <alignment horizontal="right" vertical="center" wrapText="1"/>
    </xf>
    <xf numFmtId="0" fontId="4" fillId="3" borderId="7" xfId="12" applyFont="1" applyFill="1" applyBorder="1" applyAlignment="1">
      <alignment horizontal="right" vertical="center" wrapText="1"/>
    </xf>
    <xf numFmtId="0" fontId="4" fillId="4" borderId="7" xfId="12" applyFont="1" applyFill="1" applyBorder="1" applyAlignment="1">
      <alignment horizontal="justify" vertical="center" wrapText="1"/>
    </xf>
    <xf numFmtId="0" fontId="4" fillId="4" borderId="8" xfId="12" applyFont="1" applyFill="1" applyBorder="1" applyAlignment="1">
      <alignment horizontal="justify" vertical="center" wrapText="1"/>
    </xf>
    <xf numFmtId="0" fontId="5" fillId="4" borderId="9" xfId="0" applyFont="1" applyFill="1" applyBorder="1" applyAlignment="1">
      <alignment horizontal="right" vertical="center" wrapText="1"/>
    </xf>
    <xf numFmtId="0" fontId="5" fillId="4" borderId="10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2" borderId="7" xfId="12" applyFont="1" applyFill="1" applyBorder="1" applyAlignment="1">
      <alignment horizontal="justify" vertical="center" wrapText="1"/>
    </xf>
    <xf numFmtId="0" fontId="4" fillId="2" borderId="8" xfId="12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31">
    <cellStyle name="Excel Built-in Normal" xfId="3" xr:uid="{00000000-0005-0000-0000-000031000000}"/>
    <cellStyle name="Moeda" xfId="1" builtinId="4"/>
    <cellStyle name="Moeda 2" xfId="4" xr:uid="{00000000-0005-0000-0000-000032000000}"/>
    <cellStyle name="Moeda 3" xfId="5" xr:uid="{00000000-0005-0000-0000-000033000000}"/>
    <cellStyle name="Moeda 4" xfId="6" xr:uid="{00000000-0005-0000-0000-000034000000}"/>
    <cellStyle name="Moeda 5" xfId="7" xr:uid="{00000000-0005-0000-0000-000035000000}"/>
    <cellStyle name="Normal" xfId="0" builtinId="0"/>
    <cellStyle name="Normal 2" xfId="8" xr:uid="{00000000-0005-0000-0000-000036000000}"/>
    <cellStyle name="Normal 2 2" xfId="9" xr:uid="{00000000-0005-0000-0000-000037000000}"/>
    <cellStyle name="Normal 2 2 2" xfId="10" xr:uid="{00000000-0005-0000-0000-000038000000}"/>
    <cellStyle name="Normal 2 2 2 3" xfId="11" xr:uid="{00000000-0005-0000-0000-000039000000}"/>
    <cellStyle name="Normal 2 2 3" xfId="12" xr:uid="{00000000-0005-0000-0000-00003A000000}"/>
    <cellStyle name="Normal 2 5" xfId="13" xr:uid="{00000000-0005-0000-0000-00003B000000}"/>
    <cellStyle name="Normal 3" xfId="14" xr:uid="{00000000-0005-0000-0000-00003C000000}"/>
    <cellStyle name="Normal 4" xfId="15" xr:uid="{00000000-0005-0000-0000-00003D000000}"/>
    <cellStyle name="Normal 5" xfId="16" xr:uid="{00000000-0005-0000-0000-00003E000000}"/>
    <cellStyle name="Normal 6" xfId="17" xr:uid="{00000000-0005-0000-0000-00003F000000}"/>
    <cellStyle name="Normal 6 2" xfId="18" xr:uid="{00000000-0005-0000-0000-000040000000}"/>
    <cellStyle name="Normal 7" xfId="19" xr:uid="{00000000-0005-0000-0000-000041000000}"/>
    <cellStyle name="Normal 9" xfId="20" xr:uid="{00000000-0005-0000-0000-000042000000}"/>
    <cellStyle name="Normal_Pesquisa no referencial 10 de maio de 2013" xfId="21" xr:uid="{00000000-0005-0000-0000-000043000000}"/>
    <cellStyle name="Normal_PP-VI" xfId="22" xr:uid="{00000000-0005-0000-0000-000044000000}"/>
    <cellStyle name="Porcentagem" xfId="2" builtinId="5"/>
    <cellStyle name="Separador de milhares 10" xfId="23" xr:uid="{00000000-0005-0000-0000-000045000000}"/>
    <cellStyle name="Separador de milhares 2" xfId="24" xr:uid="{00000000-0005-0000-0000-000046000000}"/>
    <cellStyle name="Separador de milhares 2 2" xfId="25" xr:uid="{00000000-0005-0000-0000-000047000000}"/>
    <cellStyle name="Vírgula 2" xfId="26" xr:uid="{00000000-0005-0000-0000-000048000000}"/>
    <cellStyle name="Vírgula 3" xfId="27" xr:uid="{00000000-0005-0000-0000-000049000000}"/>
    <cellStyle name="Vírgula 6" xfId="28" xr:uid="{00000000-0005-0000-0000-00004A000000}"/>
    <cellStyle name="Vírgula 6 2" xfId="29" xr:uid="{00000000-0005-0000-0000-00004B000000}"/>
    <cellStyle name="Vírgula 9" xfId="30" xr:uid="{00000000-0005-0000-0000-00004C000000}"/>
  </cellStyles>
  <dxfs count="2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  <color rgb="FFFFFF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10762</xdr:colOff>
      <xdr:row>2</xdr:row>
      <xdr:rowOff>131081</xdr:rowOff>
    </xdr:from>
    <xdr:to>
      <xdr:col>3</xdr:col>
      <xdr:colOff>613833</xdr:colOff>
      <xdr:row>4</xdr:row>
      <xdr:rowOff>155575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15035" y="464185"/>
          <a:ext cx="955675" cy="348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682625</xdr:colOff>
      <xdr:row>2</xdr:row>
      <xdr:rowOff>74082</xdr:rowOff>
    </xdr:from>
    <xdr:to>
      <xdr:col>8</xdr:col>
      <xdr:colOff>952500</xdr:colOff>
      <xdr:row>5</xdr:row>
      <xdr:rowOff>84667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39925" y="407035"/>
          <a:ext cx="4927600" cy="4965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b="1">
              <a:latin typeface="Arial" panose="020B0604020202020204" pitchFamily="7" charset="0"/>
              <a:cs typeface="Arial" panose="020B0604020202020204" pitchFamily="7" charset="0"/>
            </a:rPr>
            <a:t>Ministério de Integração e do Desenvolvimento Regional</a:t>
          </a:r>
        </a:p>
        <a:p>
          <a:r>
            <a:rPr lang="pt-BR" sz="800">
              <a:latin typeface="Arial" panose="020B0604020202020204" pitchFamily="7" charset="0"/>
              <a:cs typeface="Arial" panose="020B0604020202020204" pitchFamily="7" charset="0"/>
            </a:rPr>
            <a:t>Companhia</a:t>
          </a:r>
          <a:r>
            <a:rPr lang="pt-BR" sz="800" baseline="0">
              <a:latin typeface="Arial" panose="020B0604020202020204" pitchFamily="7" charset="0"/>
              <a:cs typeface="Arial" panose="020B0604020202020204" pitchFamily="7" charset="0"/>
            </a:rPr>
            <a:t> de Desenvolvimento dos Vales do São Francisco e do Parnaíba</a:t>
          </a:r>
        </a:p>
        <a:p>
          <a:r>
            <a:rPr lang="pt-BR" sz="800" baseline="0">
              <a:latin typeface="Arial" panose="020B0604020202020204" pitchFamily="7" charset="0"/>
              <a:cs typeface="Arial" panose="020B0604020202020204" pitchFamily="7" charset="0"/>
            </a:rPr>
            <a:t>2ª Superintendência Regional da Codevasf.</a:t>
          </a:r>
          <a:endParaRPr lang="pt-BR" sz="80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38101</xdr:colOff>
      <xdr:row>1</xdr:row>
      <xdr:rowOff>114300</xdr:rowOff>
    </xdr:from>
    <xdr:to>
      <xdr:col>4</xdr:col>
      <xdr:colOff>1205781</xdr:colOff>
      <xdr:row>3</xdr:row>
      <xdr:rowOff>42450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33925" y="217170"/>
          <a:ext cx="116713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79156</xdr:colOff>
      <xdr:row>1</xdr:row>
      <xdr:rowOff>133350</xdr:rowOff>
    </xdr:from>
    <xdr:to>
      <xdr:col>4</xdr:col>
      <xdr:colOff>663069</xdr:colOff>
      <xdr:row>4</xdr:row>
      <xdr:rowOff>73275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78765" y="304800"/>
          <a:ext cx="2565400" cy="5473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103809</xdr:colOff>
      <xdr:row>1</xdr:row>
      <xdr:rowOff>99173</xdr:rowOff>
    </xdr:from>
    <xdr:to>
      <xdr:col>3</xdr:col>
      <xdr:colOff>246529</xdr:colOff>
      <xdr:row>3</xdr:row>
      <xdr:rowOff>127761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03530" y="270510"/>
          <a:ext cx="1485900" cy="433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658096</xdr:colOff>
      <xdr:row>1</xdr:row>
      <xdr:rowOff>51953</xdr:rowOff>
    </xdr:from>
    <xdr:to>
      <xdr:col>16</xdr:col>
      <xdr:colOff>1085202</xdr:colOff>
      <xdr:row>2</xdr:row>
      <xdr:rowOff>174953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3889335" y="222885"/>
          <a:ext cx="1731645" cy="504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16934</xdr:colOff>
      <xdr:row>1</xdr:row>
      <xdr:rowOff>19050</xdr:rowOff>
    </xdr:from>
    <xdr:to>
      <xdr:col>4</xdr:col>
      <xdr:colOff>22793</xdr:colOff>
      <xdr:row>3</xdr:row>
      <xdr:rowOff>201083</xdr:rowOff>
    </xdr:to>
    <xdr:pic>
      <xdr:nvPicPr>
        <xdr:cNvPr id="4" name="Object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5110" y="152400"/>
          <a:ext cx="2339340" cy="615950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112056</xdr:colOff>
      <xdr:row>0</xdr:row>
      <xdr:rowOff>110885</xdr:rowOff>
    </xdr:from>
    <xdr:to>
      <xdr:col>8</xdr:col>
      <xdr:colOff>1288616</xdr:colOff>
      <xdr:row>2</xdr:row>
      <xdr:rowOff>139473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351260" y="110490"/>
          <a:ext cx="2062480" cy="42862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115958</xdr:colOff>
      <xdr:row>0</xdr:row>
      <xdr:rowOff>74544</xdr:rowOff>
    </xdr:from>
    <xdr:to>
      <xdr:col>1</xdr:col>
      <xdr:colOff>715540</xdr:colOff>
      <xdr:row>1</xdr:row>
      <xdr:rowOff>127761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570" y="74295"/>
          <a:ext cx="1209040" cy="25336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325511</xdr:colOff>
      <xdr:row>0</xdr:row>
      <xdr:rowOff>62949</xdr:rowOff>
    </xdr:from>
    <xdr:to>
      <xdr:col>6</xdr:col>
      <xdr:colOff>1083328</xdr:colOff>
      <xdr:row>0</xdr:row>
      <xdr:rowOff>494949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7678420" y="62865"/>
          <a:ext cx="2015490" cy="431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34924</xdr:colOff>
      <xdr:row>1</xdr:row>
      <xdr:rowOff>25400</xdr:rowOff>
    </xdr:from>
    <xdr:to>
      <xdr:col>3</xdr:col>
      <xdr:colOff>428625</xdr:colOff>
      <xdr:row>3</xdr:row>
      <xdr:rowOff>184150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24790" y="196850"/>
          <a:ext cx="2480310" cy="55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50.61\2&#170;_GRD\05-LICITA&#199;&#213;ES%202023\11-ESTRADAS%20VICINAIS%20SRP%20-%202023\01-CD%20LICITA&#199;&#195;O\01-PE&#199;AS%20EDIT&#193;VEIS\69%20-%20Planilha%20para%20Recupera&#231;&#227;o%20Adequa&#231;&#227;o%20e%20Revestimento%20Prim&#225;rio%20de%20Estradas%20Vicinais_25.10.202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50.61\Armazenamento\2&#170;_GRD\05-LICITA&#199;&#213;ES%202023\08-PAVIMENTA&#199;&#195;O%20SRP%20-%202023\01-PE&#199;AS%20EDIT&#193;VEIS\11%20-%20Planilha%20CBUQ%202SR%202023%20-%20item%2004%20BJ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  <sheetName val="Mode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 GLOBAL"/>
      <sheetName val="MÓDULO MÍNIMO"/>
      <sheetName val="MEMÓRIA DE CÁLCULOS"/>
      <sheetName val="CRONO FISICO-FINANCEIRO"/>
      <sheetName val="PROJETO EXECUTIVO"/>
      <sheetName val="COMPOSIÇÕES SICRO"/>
      <sheetName val="COMPOSIÇÕES SINAPI"/>
      <sheetName val="COMPOSIÇÕES ENSAIOS"/>
      <sheetName val="CUSTOS SICRO - SINAPI - ORSE"/>
      <sheetName val="Mobilização"/>
      <sheetName val="DET. ENCARGOS"/>
      <sheetName val="BDI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A10" t="str">
            <v>Caminhão tanque com capacidade de 10.000 l - 188 kW</v>
          </cell>
          <cell r="D10" t="str">
            <v>E9571</v>
          </cell>
          <cell r="F10">
            <v>298.26069999999999</v>
          </cell>
          <cell r="G10">
            <v>89.097099999999998</v>
          </cell>
        </row>
        <row r="15">
          <cell r="A15" t="str">
            <v>Escavação e carga de material de jazida com escavadeira hidráulica de 1,56 m³</v>
          </cell>
          <cell r="D15">
            <v>4016096</v>
          </cell>
          <cell r="F15">
            <v>1.44</v>
          </cell>
        </row>
        <row r="16">
          <cell r="A16" t="str">
            <v>Escavação e carga de material de jazida com escavadeira hidráulica de 1,56 m³ - Caminhão basculante 10 m³</v>
          </cell>
          <cell r="D16">
            <v>5914354</v>
          </cell>
          <cell r="F16">
            <v>1.68</v>
          </cell>
        </row>
        <row r="19">
          <cell r="A19" t="str">
            <v>Grade de 24 discos rebocável de D = 60 cm (24")</v>
          </cell>
          <cell r="D19" t="str">
            <v>E9518</v>
          </cell>
          <cell r="F19">
            <v>4.8484999999999996</v>
          </cell>
          <cell r="G19">
            <v>3.3763999999999998</v>
          </cell>
        </row>
        <row r="23">
          <cell r="A23" t="str">
            <v>Motoniveladora - 93 kW</v>
          </cell>
          <cell r="D23" t="str">
            <v>E9524</v>
          </cell>
          <cell r="F23">
            <v>279.14210000000003</v>
          </cell>
          <cell r="G23">
            <v>130.55009999999999</v>
          </cell>
        </row>
        <row r="29">
          <cell r="A29" t="str">
            <v>Retroescavadeira de pneus com capacidade de 0,76 m³ - 58 Kw</v>
          </cell>
          <cell r="D29" t="str">
            <v>E9526</v>
          </cell>
          <cell r="F29">
            <v>153.52449999999999</v>
          </cell>
          <cell r="G29">
            <v>84.3172</v>
          </cell>
        </row>
        <row r="30">
          <cell r="A30" t="str">
            <v>Rolo compactador de pneus autopropelido de 27 t - 85 kW</v>
          </cell>
          <cell r="D30" t="str">
            <v>E9762</v>
          </cell>
          <cell r="F30">
            <v>241.52109999999999</v>
          </cell>
          <cell r="G30">
            <v>125.0121</v>
          </cell>
        </row>
        <row r="31">
          <cell r="A31" t="str">
            <v>Rolo compactador pé de carneiro vibratório autopropelido por pneus de 11,6 t - 82 kW</v>
          </cell>
          <cell r="D31" t="str">
            <v>E9685</v>
          </cell>
          <cell r="F31">
            <v>199.6669</v>
          </cell>
          <cell r="G31">
            <v>96.510900000000007</v>
          </cell>
        </row>
        <row r="35">
          <cell r="A35" t="str">
            <v>Trator agrícola sobre pneus - 77 kW</v>
          </cell>
          <cell r="D35" t="str">
            <v>E9577</v>
          </cell>
          <cell r="F35">
            <v>126.06010000000001</v>
          </cell>
          <cell r="G35">
            <v>50.948399999999999</v>
          </cell>
        </row>
      </sheetData>
      <sheetData sheetId="10"/>
      <sheetData sheetId="11"/>
      <sheetData sheetId="12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MODULO TOTAL"/>
      <sheetName val="CRONOGRAMA TOTAL"/>
      <sheetName val=" CONSUMO DE MAT. B TOTAL"/>
      <sheetName val="CPU CODEVASF"/>
      <sheetName val="Projeto Executivo"/>
      <sheetName val="Mob e Desmob"/>
      <sheetName val="MC MODULO"/>
      <sheetName val="BDI"/>
      <sheetName val="ENC. SOCIAIS"/>
      <sheetName val="Transporte Cap 50-70"/>
      <sheetName val="Transporte EAI"/>
      <sheetName val="Transporte RR-1C"/>
      <sheetName val="RESUMO_Transp"/>
      <sheetName val="MOMENTO DE TRANSPORTE - PRINC"/>
      <sheetName val="MOMENTO DE TRANSPORTE - AUX"/>
      <sheetName val="Curva ABC"/>
      <sheetName val="ANP ESTADO"/>
      <sheetName val="ANP REGIÃO"/>
      <sheetName val="SINTÉTICO SICRO"/>
      <sheetName val="INSUMOS SINAPI"/>
      <sheetName val="COMP Sint. Sinapi"/>
      <sheetName val="MO S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1">
          <cell r="E51">
            <v>115.15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Analítico CCUs"/>
      <sheetName val="Insumos"/>
      <sheetName val="QuQuant"/>
      <sheetName val="Tabela Abril 2000"/>
      <sheetName val="TABELA"/>
      <sheetName val="PSCEGERAL"/>
      <sheetName val="Dados"/>
      <sheetName val="Planilha"/>
      <sheetName val="P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  <pageSetUpPr fitToPage="1"/>
  </sheetPr>
  <dimension ref="B2:J19"/>
  <sheetViews>
    <sheetView view="pageBreakPreview" zoomScale="180" zoomScaleNormal="100" workbookViewId="0">
      <selection activeCell="D21" sqref="D21"/>
    </sheetView>
  </sheetViews>
  <sheetFormatPr defaultColWidth="9" defaultRowHeight="12.75"/>
  <cols>
    <col min="1" max="1" width="5.42578125" customWidth="1"/>
    <col min="2" max="2" width="8.140625" customWidth="1"/>
    <col min="3" max="3" width="5.28515625" customWidth="1"/>
    <col min="4" max="4" width="36.85546875" customWidth="1"/>
    <col min="5" max="5" width="21" customWidth="1"/>
    <col min="6" max="6" width="12" customWidth="1"/>
    <col min="7" max="7" width="8.28515625" hidden="1" customWidth="1"/>
    <col min="8" max="8" width="19.140625" hidden="1" customWidth="1"/>
    <col min="9" max="9" width="21.28515625" customWidth="1"/>
    <col min="10" max="10" width="4.7109375" customWidth="1"/>
  </cols>
  <sheetData>
    <row r="2" spans="2:10">
      <c r="B2" s="432"/>
      <c r="C2" s="433"/>
      <c r="D2" s="433"/>
      <c r="E2" s="433"/>
      <c r="F2" s="433"/>
      <c r="G2" s="433"/>
      <c r="H2" s="434"/>
      <c r="I2" s="434"/>
      <c r="J2" s="452"/>
    </row>
    <row r="3" spans="2:10">
      <c r="B3" s="435"/>
      <c r="C3" s="436"/>
      <c r="D3" s="436"/>
      <c r="E3" s="476"/>
      <c r="F3" s="476"/>
      <c r="G3" s="476"/>
      <c r="H3" s="476"/>
      <c r="I3" s="476"/>
      <c r="J3" s="453"/>
    </row>
    <row r="4" spans="2:10">
      <c r="B4" s="435"/>
      <c r="C4" s="436"/>
      <c r="D4" s="436"/>
      <c r="E4" s="477"/>
      <c r="F4" s="477"/>
      <c r="G4" s="477"/>
      <c r="H4" s="477"/>
      <c r="I4" s="477"/>
      <c r="J4" s="453"/>
    </row>
    <row r="5" spans="2:10">
      <c r="B5" s="435"/>
      <c r="C5" s="436"/>
      <c r="D5" s="436"/>
      <c r="E5" s="478"/>
      <c r="F5" s="478"/>
      <c r="G5" s="478"/>
      <c r="H5" s="478"/>
      <c r="I5" s="478"/>
      <c r="J5" s="453"/>
    </row>
    <row r="6" spans="2:10">
      <c r="B6" s="435"/>
      <c r="C6" s="436"/>
      <c r="D6" s="436"/>
      <c r="E6" s="436"/>
      <c r="F6" s="436"/>
      <c r="G6" s="436"/>
      <c r="H6" s="437"/>
      <c r="I6" s="437"/>
      <c r="J6" s="453"/>
    </row>
    <row r="7" spans="2:10">
      <c r="B7" s="435"/>
      <c r="C7" s="482" t="s">
        <v>0</v>
      </c>
      <c r="D7" s="483"/>
      <c r="E7" s="484"/>
      <c r="F7" s="484"/>
      <c r="G7" s="484"/>
      <c r="H7" s="484"/>
      <c r="I7" s="485"/>
      <c r="J7" s="307"/>
    </row>
    <row r="8" spans="2:10">
      <c r="B8" s="435"/>
      <c r="C8" s="486"/>
      <c r="D8" s="487"/>
      <c r="E8" s="488"/>
      <c r="F8" s="488"/>
      <c r="G8" s="488"/>
      <c r="H8" s="488"/>
      <c r="I8" s="489"/>
      <c r="J8" s="453"/>
    </row>
    <row r="9" spans="2:10">
      <c r="B9" s="435"/>
      <c r="C9" s="486"/>
      <c r="D9" s="487"/>
      <c r="E9" s="488"/>
      <c r="F9" s="488"/>
      <c r="G9" s="488"/>
      <c r="H9" s="488"/>
      <c r="I9" s="489"/>
      <c r="J9" s="453"/>
    </row>
    <row r="10" spans="2:10">
      <c r="B10" s="435"/>
      <c r="C10" s="486"/>
      <c r="D10" s="487"/>
      <c r="E10" s="488"/>
      <c r="F10" s="488"/>
      <c r="G10" s="488"/>
      <c r="H10" s="488"/>
      <c r="I10" s="489"/>
      <c r="J10" s="453"/>
    </row>
    <row r="11" spans="2:10">
      <c r="B11" s="435"/>
      <c r="C11" s="490"/>
      <c r="D11" s="491"/>
      <c r="E11" s="492"/>
      <c r="F11" s="492"/>
      <c r="G11" s="492"/>
      <c r="H11" s="492"/>
      <c r="I11" s="493"/>
      <c r="J11" s="453"/>
    </row>
    <row r="12" spans="2:10">
      <c r="B12" s="435"/>
      <c r="C12" s="438"/>
      <c r="D12" s="438"/>
      <c r="E12" s="438"/>
      <c r="F12" s="438"/>
      <c r="G12" s="438"/>
      <c r="H12" s="439"/>
      <c r="I12" s="439"/>
      <c r="J12" s="453"/>
    </row>
    <row r="13" spans="2:10" ht="15">
      <c r="B13" s="435"/>
      <c r="C13" s="440" t="s">
        <v>1</v>
      </c>
      <c r="D13" s="440" t="s">
        <v>2</v>
      </c>
      <c r="E13" s="440" t="s">
        <v>3</v>
      </c>
      <c r="F13" s="440" t="s">
        <v>4</v>
      </c>
      <c r="G13" s="440" t="s">
        <v>5</v>
      </c>
      <c r="H13" s="441" t="s">
        <v>6</v>
      </c>
      <c r="I13" s="441" t="s">
        <v>7</v>
      </c>
      <c r="J13" s="454"/>
    </row>
    <row r="14" spans="2:10" ht="15">
      <c r="B14" s="435"/>
      <c r="C14" s="442">
        <v>1</v>
      </c>
      <c r="D14" s="442" t="s">
        <v>8</v>
      </c>
      <c r="E14" s="443">
        <f>'Planilha Global'!L51</f>
        <v>21600</v>
      </c>
      <c r="F14" s="444">
        <f>I14/E14</f>
        <v>225.9028148148148</v>
      </c>
      <c r="G14" s="443">
        <f>'Planilha Global'!H11</f>
        <v>20</v>
      </c>
      <c r="H14" s="444">
        <f>'Planilha Unitária'!J49</f>
        <v>571425.98</v>
      </c>
      <c r="I14" s="444">
        <f>'Planilha Global'!L49</f>
        <v>4879500.8</v>
      </c>
      <c r="J14" s="454"/>
    </row>
    <row r="15" spans="2:10" ht="14.25">
      <c r="B15" s="435"/>
      <c r="C15" s="445"/>
      <c r="D15" s="445"/>
      <c r="E15" s="445"/>
      <c r="F15" s="445"/>
      <c r="G15" s="445"/>
      <c r="H15" s="446"/>
      <c r="I15" s="446"/>
      <c r="J15" s="454"/>
    </row>
    <row r="16" spans="2:10" ht="14.25">
      <c r="B16" s="435"/>
      <c r="C16" s="445"/>
      <c r="D16" s="445"/>
      <c r="E16" s="445"/>
      <c r="F16" s="445"/>
      <c r="G16" s="445"/>
      <c r="H16" s="446"/>
      <c r="I16" s="446"/>
      <c r="J16" s="454"/>
    </row>
    <row r="17" spans="2:10" ht="15">
      <c r="B17" s="435"/>
      <c r="C17" s="479" t="s">
        <v>9</v>
      </c>
      <c r="D17" s="480"/>
      <c r="E17" s="480"/>
      <c r="F17" s="481"/>
      <c r="G17" s="447">
        <f>SUM(G14)</f>
        <v>20</v>
      </c>
      <c r="H17" s="448"/>
      <c r="I17" s="455">
        <f>SUM(I14:I14)</f>
        <v>4879500.8</v>
      </c>
      <c r="J17" s="454"/>
    </row>
    <row r="18" spans="2:10" ht="14.25">
      <c r="B18" s="435"/>
      <c r="C18" s="445"/>
      <c r="D18" s="445"/>
      <c r="E18" s="445"/>
      <c r="F18" s="445"/>
      <c r="G18" s="445"/>
      <c r="H18" s="446"/>
      <c r="I18" s="446"/>
      <c r="J18" s="454"/>
    </row>
    <row r="19" spans="2:10" ht="14.25">
      <c r="B19" s="449"/>
      <c r="C19" s="450"/>
      <c r="D19" s="450"/>
      <c r="E19" s="450"/>
      <c r="F19" s="450"/>
      <c r="G19" s="450"/>
      <c r="H19" s="451"/>
      <c r="I19" s="451"/>
      <c r="J19" s="456"/>
    </row>
  </sheetData>
  <mergeCells count="5">
    <mergeCell ref="E3:I3"/>
    <mergeCell ref="E4:I4"/>
    <mergeCell ref="E5:I5"/>
    <mergeCell ref="C17:F17"/>
    <mergeCell ref="C7:I11"/>
  </mergeCells>
  <pageMargins left="0.98425196850393704" right="0.98425196850393704" top="0.98425196850393704" bottom="0.98425196850393704" header="0.31496062992126" footer="0.31496062992126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39994506668294322"/>
    <pageSetUpPr fitToPage="1"/>
  </sheetPr>
  <dimension ref="B2:K35"/>
  <sheetViews>
    <sheetView view="pageBreakPreview" zoomScaleNormal="100" workbookViewId="0">
      <selection activeCell="N29" sqref="N29"/>
    </sheetView>
  </sheetViews>
  <sheetFormatPr defaultColWidth="9.140625" defaultRowHeight="12.75"/>
  <cols>
    <col min="1" max="1" width="2.85546875" style="89" customWidth="1"/>
    <col min="2" max="2" width="9.140625" style="89"/>
    <col min="3" max="3" width="22.140625" style="89" customWidth="1"/>
    <col min="4" max="4" width="13.140625" style="89" customWidth="1"/>
    <col min="5" max="7" width="9.140625" style="89"/>
    <col min="8" max="8" width="25.85546875" style="89" customWidth="1"/>
    <col min="9" max="16384" width="9.140625" style="89"/>
  </cols>
  <sheetData>
    <row r="2" spans="2:11" s="88" customFormat="1" ht="15.75" customHeight="1">
      <c r="B2" s="676" t="s">
        <v>433</v>
      </c>
      <c r="C2" s="677"/>
      <c r="D2" s="677"/>
      <c r="E2" s="677"/>
      <c r="F2" s="677"/>
      <c r="G2" s="677"/>
      <c r="H2" s="677"/>
      <c r="I2" s="677"/>
      <c r="J2" s="677"/>
      <c r="K2" s="678"/>
    </row>
    <row r="3" spans="2:11" s="88" customFormat="1" ht="15.75" customHeight="1">
      <c r="B3" s="679" t="s">
        <v>434</v>
      </c>
      <c r="C3" s="680"/>
      <c r="D3" s="680"/>
      <c r="E3" s="680"/>
      <c r="F3" s="680"/>
      <c r="G3" s="680"/>
      <c r="H3" s="680"/>
      <c r="I3" s="680"/>
      <c r="J3" s="680"/>
      <c r="K3" s="681"/>
    </row>
    <row r="4" spans="2:11" s="88" customFormat="1" ht="15.75" customHeight="1">
      <c r="B4" s="679" t="s">
        <v>435</v>
      </c>
      <c r="C4" s="680"/>
      <c r="D4" s="680"/>
      <c r="E4" s="680"/>
      <c r="F4" s="680"/>
      <c r="G4" s="680"/>
      <c r="H4" s="680"/>
      <c r="I4" s="680"/>
      <c r="J4" s="680"/>
      <c r="K4" s="681"/>
    </row>
    <row r="5" spans="2:11" s="88" customFormat="1" ht="15.75" customHeight="1">
      <c r="B5" s="679" t="s">
        <v>436</v>
      </c>
      <c r="C5" s="680"/>
      <c r="D5" s="680"/>
      <c r="E5" s="680"/>
      <c r="F5" s="680"/>
      <c r="G5" s="680"/>
      <c r="H5" s="680"/>
      <c r="I5" s="680"/>
      <c r="J5" s="680"/>
      <c r="K5" s="681"/>
    </row>
    <row r="6" spans="2:11" ht="6.95" customHeight="1">
      <c r="B6" s="90"/>
      <c r="E6" s="91"/>
      <c r="F6" s="91"/>
      <c r="G6" s="92"/>
      <c r="K6" s="111"/>
    </row>
    <row r="7" spans="2:11" ht="27" customHeight="1">
      <c r="B7" s="667" t="s">
        <v>15</v>
      </c>
      <c r="C7" s="668"/>
      <c r="D7" s="668"/>
      <c r="E7" s="668"/>
      <c r="F7" s="668"/>
      <c r="G7" s="668"/>
      <c r="H7" s="668"/>
      <c r="I7" s="668"/>
      <c r="J7" s="668"/>
      <c r="K7" s="669"/>
    </row>
    <row r="8" spans="2:11">
      <c r="B8" s="670"/>
      <c r="C8" s="671"/>
      <c r="D8" s="671"/>
      <c r="E8" s="671"/>
      <c r="F8" s="671"/>
      <c r="G8" s="671"/>
      <c r="H8" s="671"/>
      <c r="I8" s="671"/>
      <c r="J8" s="671"/>
      <c r="K8" s="672"/>
    </row>
    <row r="9" spans="2:11" ht="26.25" customHeight="1">
      <c r="B9" s="673"/>
      <c r="C9" s="674"/>
      <c r="D9" s="674"/>
      <c r="E9" s="674"/>
      <c r="F9" s="674"/>
      <c r="G9" s="674"/>
      <c r="H9" s="674"/>
      <c r="I9" s="674"/>
      <c r="J9" s="674"/>
      <c r="K9" s="675"/>
    </row>
    <row r="10" spans="2:11" ht="6.95" customHeight="1">
      <c r="B10" s="90"/>
      <c r="K10" s="111"/>
    </row>
    <row r="11" spans="2:11">
      <c r="B11" s="661" t="s">
        <v>437</v>
      </c>
      <c r="C11" s="662"/>
      <c r="D11" s="662"/>
      <c r="E11" s="662"/>
      <c r="F11" s="662"/>
      <c r="G11" s="662"/>
      <c r="H11" s="662"/>
      <c r="I11" s="662"/>
      <c r="J11" s="662"/>
      <c r="K11" s="663"/>
    </row>
    <row r="12" spans="2:11">
      <c r="B12" s="664"/>
      <c r="C12" s="665"/>
      <c r="D12" s="665"/>
      <c r="E12" s="665"/>
      <c r="F12" s="665"/>
      <c r="G12" s="665"/>
      <c r="H12" s="665"/>
      <c r="I12" s="665"/>
      <c r="J12" s="665"/>
      <c r="K12" s="666"/>
    </row>
    <row r="13" spans="2:11" ht="9" customHeight="1">
      <c r="B13" s="93"/>
      <c r="C13" s="94"/>
      <c r="D13" s="94"/>
      <c r="E13" s="94"/>
      <c r="F13" s="94"/>
      <c r="G13" s="94"/>
      <c r="H13" s="95"/>
      <c r="I13" s="95"/>
      <c r="J13" s="95"/>
      <c r="K13" s="112"/>
    </row>
    <row r="14" spans="2:11">
      <c r="B14" s="96" t="s">
        <v>438</v>
      </c>
      <c r="C14" s="97"/>
      <c r="D14" s="657" t="s">
        <v>439</v>
      </c>
      <c r="E14" s="658"/>
      <c r="F14" s="658"/>
      <c r="G14" s="659"/>
      <c r="H14" s="95"/>
      <c r="I14" s="95"/>
      <c r="J14" s="95"/>
      <c r="K14" s="112"/>
    </row>
    <row r="15" spans="2:11">
      <c r="B15" s="98"/>
      <c r="C15" s="99"/>
      <c r="D15" s="100"/>
      <c r="E15" s="99"/>
      <c r="F15" s="95"/>
      <c r="G15" s="95"/>
      <c r="H15" s="95"/>
      <c r="I15" s="95"/>
      <c r="J15" s="95"/>
      <c r="K15" s="112"/>
    </row>
    <row r="16" spans="2:11">
      <c r="B16" s="101" t="s">
        <v>440</v>
      </c>
      <c r="C16" s="102"/>
      <c r="D16" s="657" t="s">
        <v>441</v>
      </c>
      <c r="E16" s="658"/>
      <c r="F16" s="658"/>
      <c r="G16" s="659"/>
      <c r="H16" s="99"/>
      <c r="I16" s="99"/>
      <c r="J16" s="99"/>
      <c r="K16" s="112"/>
    </row>
    <row r="17" spans="2:11">
      <c r="B17" s="98"/>
      <c r="C17" s="99"/>
      <c r="D17" s="100"/>
      <c r="E17" s="99"/>
      <c r="F17" s="95"/>
      <c r="G17" s="95"/>
      <c r="H17" s="95"/>
      <c r="I17" s="95"/>
      <c r="J17" s="95"/>
      <c r="K17" s="112"/>
    </row>
    <row r="18" spans="2:11">
      <c r="B18" s="101" t="s">
        <v>442</v>
      </c>
      <c r="C18" s="102"/>
      <c r="D18" s="103">
        <v>15</v>
      </c>
      <c r="E18" s="99" t="s">
        <v>443</v>
      </c>
      <c r="F18" s="95"/>
      <c r="G18" s="95"/>
      <c r="H18" s="95"/>
      <c r="I18" s="95"/>
      <c r="J18" s="95"/>
      <c r="K18" s="112"/>
    </row>
    <row r="19" spans="2:11" ht="9" customHeight="1">
      <c r="B19" s="98"/>
      <c r="C19" s="99"/>
      <c r="D19" s="99"/>
      <c r="E19" s="99"/>
      <c r="F19" s="95"/>
      <c r="G19" s="95"/>
      <c r="H19" s="95"/>
      <c r="I19" s="95"/>
      <c r="J19" s="95"/>
      <c r="K19" s="112"/>
    </row>
    <row r="20" spans="2:11">
      <c r="B20" s="101" t="s">
        <v>444</v>
      </c>
      <c r="C20" s="102"/>
      <c r="D20" s="103">
        <v>30</v>
      </c>
      <c r="E20" s="99" t="s">
        <v>443</v>
      </c>
      <c r="F20" s="95"/>
      <c r="G20" s="95"/>
      <c r="H20" s="95"/>
      <c r="I20" s="95"/>
      <c r="J20" s="95"/>
      <c r="K20" s="112"/>
    </row>
    <row r="21" spans="2:11">
      <c r="B21" s="98"/>
      <c r="C21" s="99"/>
      <c r="D21" s="99"/>
      <c r="E21" s="99"/>
      <c r="F21" s="95"/>
      <c r="G21" s="95"/>
      <c r="H21" s="95"/>
      <c r="I21" s="95"/>
      <c r="J21" s="95"/>
      <c r="K21" s="112"/>
    </row>
    <row r="22" spans="2:11">
      <c r="B22" s="101" t="s">
        <v>445</v>
      </c>
      <c r="C22" s="102"/>
      <c r="D22" s="99"/>
      <c r="E22" s="99"/>
      <c r="F22" s="104" t="s">
        <v>446</v>
      </c>
      <c r="G22" s="99"/>
      <c r="H22" s="99"/>
      <c r="I22" s="100">
        <v>13.03</v>
      </c>
      <c r="J22" s="99" t="s">
        <v>447</v>
      </c>
      <c r="K22" s="112"/>
    </row>
    <row r="23" spans="2:11">
      <c r="B23" s="105"/>
      <c r="C23" s="95"/>
      <c r="D23" s="95"/>
      <c r="E23" s="95"/>
      <c r="F23" s="104" t="s">
        <v>448</v>
      </c>
      <c r="G23" s="99"/>
      <c r="H23" s="99"/>
      <c r="I23" s="100">
        <v>3.4</v>
      </c>
      <c r="J23" s="99" t="s">
        <v>447</v>
      </c>
      <c r="K23" s="112"/>
    </row>
    <row r="24" spans="2:11">
      <c r="B24" s="105"/>
      <c r="C24" s="95"/>
      <c r="D24" s="95"/>
      <c r="E24" s="95"/>
      <c r="F24" s="104" t="s">
        <v>449</v>
      </c>
      <c r="G24" s="99"/>
      <c r="H24" s="99"/>
      <c r="I24" s="100">
        <v>22.2</v>
      </c>
      <c r="J24" s="99" t="s">
        <v>447</v>
      </c>
      <c r="K24" s="112"/>
    </row>
    <row r="25" spans="2:11">
      <c r="B25" s="105"/>
      <c r="C25" s="95"/>
      <c r="D25" s="95"/>
      <c r="E25" s="95"/>
      <c r="F25" s="104" t="s">
        <v>450</v>
      </c>
      <c r="G25" s="99"/>
      <c r="H25" s="99"/>
      <c r="I25" s="100">
        <v>27</v>
      </c>
      <c r="J25" s="99" t="s">
        <v>447</v>
      </c>
      <c r="K25" s="112"/>
    </row>
    <row r="26" spans="2:11">
      <c r="B26" s="105"/>
      <c r="C26" s="95"/>
      <c r="D26" s="95"/>
      <c r="E26" s="95"/>
      <c r="F26" s="104" t="s">
        <v>451</v>
      </c>
      <c r="G26" s="99"/>
      <c r="H26" s="99"/>
      <c r="I26" s="100">
        <v>22.5</v>
      </c>
      <c r="J26" s="99" t="s">
        <v>447</v>
      </c>
      <c r="K26" s="112"/>
    </row>
    <row r="27" spans="2:11">
      <c r="B27" s="105"/>
      <c r="C27" s="95"/>
      <c r="D27" s="95"/>
      <c r="E27" s="95"/>
      <c r="F27" s="104" t="s">
        <v>452</v>
      </c>
      <c r="G27" s="99"/>
      <c r="H27" s="99"/>
      <c r="I27" s="100">
        <v>7.86</v>
      </c>
      <c r="J27" s="99" t="s">
        <v>447</v>
      </c>
      <c r="K27" s="112"/>
    </row>
    <row r="28" spans="2:11">
      <c r="B28" s="105"/>
      <c r="C28" s="95"/>
      <c r="D28" s="95"/>
      <c r="E28" s="95"/>
      <c r="F28" s="104"/>
      <c r="G28" s="99"/>
      <c r="H28" s="99"/>
      <c r="I28" s="100"/>
      <c r="J28" s="99"/>
      <c r="K28" s="112"/>
    </row>
    <row r="29" spans="2:11">
      <c r="B29" s="106" t="s">
        <v>453</v>
      </c>
      <c r="C29" s="107"/>
      <c r="D29" s="95"/>
      <c r="E29" s="95"/>
      <c r="F29" s="104" t="s">
        <v>454</v>
      </c>
      <c r="G29" s="99"/>
      <c r="H29" s="99"/>
      <c r="I29" s="100">
        <v>2</v>
      </c>
      <c r="J29" s="99" t="s">
        <v>447</v>
      </c>
      <c r="K29" s="112"/>
    </row>
    <row r="30" spans="2:11">
      <c r="B30" s="105"/>
      <c r="C30" s="95"/>
      <c r="D30" s="95"/>
      <c r="E30" s="95"/>
      <c r="F30" s="99"/>
      <c r="G30" s="99"/>
      <c r="H30" s="99"/>
      <c r="I30" s="113"/>
      <c r="J30" s="99"/>
      <c r="K30" s="112"/>
    </row>
    <row r="31" spans="2:11">
      <c r="B31" s="105"/>
      <c r="C31" s="95"/>
      <c r="D31" s="95"/>
      <c r="E31" s="95"/>
      <c r="F31" s="104" t="s">
        <v>455</v>
      </c>
      <c r="G31" s="99"/>
      <c r="H31" s="99"/>
      <c r="I31" s="114">
        <f>SUM(I22:I29)</f>
        <v>97.99</v>
      </c>
      <c r="J31" s="104" t="s">
        <v>456</v>
      </c>
      <c r="K31" s="112"/>
    </row>
    <row r="32" spans="2:11" ht="8.25" customHeight="1">
      <c r="B32" s="105"/>
      <c r="C32" s="95"/>
      <c r="D32" s="95"/>
      <c r="E32" s="95"/>
      <c r="F32" s="95"/>
      <c r="G32" s="95"/>
      <c r="H32" s="95"/>
      <c r="I32" s="95"/>
      <c r="J32" s="95"/>
      <c r="K32" s="112"/>
    </row>
    <row r="33" spans="2:11" ht="15.75">
      <c r="B33" s="108" t="str">
        <f>"Momento de transporte (Trecho Pavimentado)                            =&gt;"</f>
        <v>Momento de transporte (Trecho Pavimentado)                            =&gt;</v>
      </c>
      <c r="C33" s="109"/>
      <c r="D33" s="109"/>
      <c r="E33" s="109"/>
      <c r="F33" s="110"/>
      <c r="G33" s="660">
        <f>ROUND(D18*I31,2)</f>
        <v>1469.85</v>
      </c>
      <c r="H33" s="660"/>
      <c r="I33" s="115" t="s">
        <v>457</v>
      </c>
      <c r="J33" s="95"/>
      <c r="K33" s="112"/>
    </row>
    <row r="34" spans="2:11" ht="8.25" customHeight="1">
      <c r="B34" s="105"/>
      <c r="C34" s="95"/>
      <c r="D34" s="95"/>
      <c r="E34" s="95"/>
      <c r="F34" s="95"/>
      <c r="G34" s="95"/>
      <c r="H34" s="95"/>
      <c r="I34" s="95"/>
      <c r="J34" s="95"/>
      <c r="K34" s="112"/>
    </row>
    <row r="35" spans="2:11" ht="15.75">
      <c r="B35" s="108" t="str">
        <f>"Momento de transporte  (Trecho Revestimento Primário)            =&gt;"</f>
        <v>Momento de transporte  (Trecho Revestimento Primário)            =&gt;</v>
      </c>
      <c r="C35" s="109"/>
      <c r="D35" s="109"/>
      <c r="E35" s="109"/>
      <c r="F35" s="110"/>
      <c r="G35" s="660">
        <f>ROUND(D20*I31,2)</f>
        <v>2939.7</v>
      </c>
      <c r="H35" s="660"/>
      <c r="I35" s="116" t="s">
        <v>457</v>
      </c>
      <c r="J35" s="117"/>
      <c r="K35" s="118"/>
    </row>
  </sheetData>
  <mergeCells count="10">
    <mergeCell ref="B2:K2"/>
    <mergeCell ref="B3:K3"/>
    <mergeCell ref="B4:K4"/>
    <mergeCell ref="B5:K5"/>
    <mergeCell ref="D14:G14"/>
    <mergeCell ref="D16:G16"/>
    <mergeCell ref="G33:H33"/>
    <mergeCell ref="G35:H35"/>
    <mergeCell ref="B11:K12"/>
    <mergeCell ref="B7:K9"/>
  </mergeCells>
  <pageMargins left="0.511811023622047" right="0.511811023622047" top="0.78740157480314998" bottom="0.78740157480314998" header="0.31496062992126" footer="0.31496062992126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39994506668294322"/>
    <pageSetUpPr fitToPage="1"/>
  </sheetPr>
  <dimension ref="B2:P37"/>
  <sheetViews>
    <sheetView view="pageBreakPreview" topLeftCell="A3" zoomScaleNormal="100" workbookViewId="0">
      <selection activeCell="G20" sqref="G20:H20"/>
    </sheetView>
  </sheetViews>
  <sheetFormatPr defaultColWidth="10.28515625" defaultRowHeight="14.25"/>
  <cols>
    <col min="1" max="1" width="10.28515625" style="21"/>
    <col min="2" max="2" width="13.5703125" style="21" customWidth="1"/>
    <col min="3" max="3" width="47" style="21" customWidth="1"/>
    <col min="4" max="5" width="10.28515625" style="21"/>
    <col min="6" max="6" width="11" style="21" customWidth="1"/>
    <col min="7" max="8" width="10.28515625" style="21"/>
    <col min="9" max="9" width="11" style="21" customWidth="1"/>
    <col min="10" max="16384" width="10.28515625" style="21"/>
  </cols>
  <sheetData>
    <row r="2" spans="2:16" ht="20.25">
      <c r="B2" s="761" t="s">
        <v>458</v>
      </c>
      <c r="C2" s="762"/>
      <c r="D2" s="762"/>
      <c r="E2" s="762"/>
      <c r="F2" s="762"/>
      <c r="G2" s="762"/>
      <c r="H2" s="762"/>
      <c r="I2" s="763"/>
      <c r="J2" s="63"/>
      <c r="K2" s="63"/>
      <c r="L2" s="63"/>
      <c r="M2" s="63"/>
      <c r="N2" s="63"/>
      <c r="O2" s="63"/>
      <c r="P2" s="63"/>
    </row>
    <row r="3" spans="2:16" ht="20.25">
      <c r="B3" s="764"/>
      <c r="C3" s="765"/>
      <c r="D3" s="765"/>
      <c r="E3" s="765"/>
      <c r="F3" s="765"/>
      <c r="G3" s="765"/>
      <c r="H3" s="765"/>
      <c r="I3" s="766"/>
      <c r="J3" s="63"/>
      <c r="K3" s="63"/>
      <c r="L3" s="63"/>
      <c r="M3" s="63"/>
      <c r="N3" s="63"/>
      <c r="O3" s="63"/>
      <c r="P3" s="63"/>
    </row>
    <row r="4" spans="2:16" ht="58.5" customHeight="1">
      <c r="B4" s="22" t="s">
        <v>459</v>
      </c>
      <c r="C4" s="767" t="s">
        <v>15</v>
      </c>
      <c r="D4" s="768"/>
      <c r="E4" s="768"/>
      <c r="F4" s="768"/>
      <c r="G4" s="768"/>
      <c r="H4" s="768"/>
      <c r="I4" s="769"/>
      <c r="J4" s="63"/>
      <c r="K4" s="63"/>
      <c r="L4" s="63"/>
      <c r="M4" s="63"/>
      <c r="N4" s="63"/>
      <c r="O4" s="63"/>
      <c r="P4" s="63"/>
    </row>
    <row r="5" spans="2:16" ht="15.75">
      <c r="B5" s="23"/>
      <c r="C5" s="770"/>
      <c r="D5" s="770"/>
      <c r="E5" s="770"/>
      <c r="F5" s="770"/>
      <c r="G5" s="770"/>
      <c r="H5" s="770"/>
      <c r="I5" s="771"/>
      <c r="J5" s="63"/>
      <c r="K5" s="63"/>
      <c r="L5" s="63"/>
      <c r="M5" s="63"/>
      <c r="N5" s="63"/>
      <c r="O5" s="63"/>
      <c r="P5" s="63"/>
    </row>
    <row r="6" spans="2:16" ht="18">
      <c r="B6" s="772" t="s">
        <v>460</v>
      </c>
      <c r="C6" s="773"/>
      <c r="D6" s="773"/>
      <c r="E6" s="773"/>
      <c r="F6" s="773"/>
      <c r="G6" s="773"/>
      <c r="H6" s="773"/>
      <c r="I6" s="774"/>
      <c r="J6" s="63"/>
      <c r="K6" s="63"/>
      <c r="L6" s="63"/>
      <c r="M6" s="63"/>
      <c r="N6" s="63"/>
      <c r="O6" s="63"/>
      <c r="P6" s="63"/>
    </row>
    <row r="7" spans="2:16" ht="15">
      <c r="B7" s="24"/>
      <c r="C7" s="25"/>
      <c r="D7" s="25"/>
      <c r="E7" s="25"/>
      <c r="F7" s="25"/>
      <c r="G7" s="26"/>
      <c r="H7" s="26"/>
      <c r="I7" s="64"/>
      <c r="J7" s="63"/>
      <c r="K7" s="63"/>
      <c r="L7" s="63"/>
      <c r="M7" s="753" t="s">
        <v>461</v>
      </c>
      <c r="N7" s="753"/>
      <c r="O7" s="753"/>
      <c r="P7" s="753"/>
    </row>
    <row r="8" spans="2:16" ht="15">
      <c r="B8" s="754" t="s">
        <v>462</v>
      </c>
      <c r="C8" s="755"/>
      <c r="D8" s="756"/>
      <c r="E8" s="25"/>
      <c r="F8" s="696" t="s">
        <v>463</v>
      </c>
      <c r="G8" s="697"/>
      <c r="H8" s="697"/>
      <c r="I8" s="698"/>
      <c r="J8" s="63"/>
      <c r="K8" s="63"/>
      <c r="L8" s="63"/>
      <c r="M8" s="702" t="s">
        <v>463</v>
      </c>
      <c r="N8" s="703"/>
      <c r="O8" s="703"/>
      <c r="P8" s="704"/>
    </row>
    <row r="9" spans="2:16">
      <c r="B9" s="710" t="s">
        <v>20</v>
      </c>
      <c r="C9" s="714" t="s">
        <v>464</v>
      </c>
      <c r="D9" s="718" t="s">
        <v>465</v>
      </c>
      <c r="E9" s="27"/>
      <c r="F9" s="699"/>
      <c r="G9" s="700"/>
      <c r="H9" s="700"/>
      <c r="I9" s="701"/>
      <c r="J9" s="63"/>
      <c r="K9" s="63"/>
      <c r="L9" s="63"/>
      <c r="M9" s="705"/>
      <c r="N9" s="706"/>
      <c r="O9" s="706"/>
      <c r="P9" s="707"/>
    </row>
    <row r="10" spans="2:16">
      <c r="B10" s="711"/>
      <c r="C10" s="715"/>
      <c r="D10" s="719"/>
      <c r="E10" s="27"/>
      <c r="F10" s="28" t="s">
        <v>466</v>
      </c>
      <c r="G10" s="757" t="s">
        <v>467</v>
      </c>
      <c r="H10" s="758"/>
      <c r="I10" s="65" t="s">
        <v>468</v>
      </c>
      <c r="J10" s="63"/>
      <c r="K10" s="63"/>
      <c r="L10" s="63"/>
      <c r="M10" s="28" t="s">
        <v>466</v>
      </c>
      <c r="N10" s="757" t="s">
        <v>467</v>
      </c>
      <c r="O10" s="758"/>
      <c r="P10" s="65" t="s">
        <v>468</v>
      </c>
    </row>
    <row r="11" spans="2:16">
      <c r="B11" s="759"/>
      <c r="C11" s="760"/>
      <c r="D11" s="760"/>
      <c r="E11" s="29"/>
      <c r="F11" s="29"/>
      <c r="G11" s="26"/>
      <c r="H11" s="26"/>
      <c r="I11" s="64"/>
      <c r="J11" s="63"/>
      <c r="K11" s="63"/>
      <c r="L11" s="63"/>
      <c r="M11" s="66"/>
      <c r="N11" s="67"/>
      <c r="O11" s="67"/>
      <c r="P11" s="68"/>
    </row>
    <row r="12" spans="2:16">
      <c r="B12" s="30" t="s">
        <v>469</v>
      </c>
      <c r="C12" s="724" t="s">
        <v>470</v>
      </c>
      <c r="D12" s="725"/>
      <c r="E12" s="31"/>
      <c r="F12" s="32"/>
      <c r="G12" s="749"/>
      <c r="H12" s="750"/>
      <c r="I12" s="69"/>
      <c r="J12" s="63"/>
      <c r="K12" s="63"/>
      <c r="L12" s="63"/>
      <c r="M12" s="32"/>
      <c r="N12" s="751"/>
      <c r="O12" s="752"/>
      <c r="P12" s="70"/>
    </row>
    <row r="13" spans="2:16">
      <c r="B13" s="33" t="s">
        <v>471</v>
      </c>
      <c r="C13" s="34" t="s">
        <v>472</v>
      </c>
      <c r="D13" s="35">
        <f>G13</f>
        <v>4.0000000000000001E-3</v>
      </c>
      <c r="E13" s="36"/>
      <c r="F13" s="37">
        <v>3.2000000000000002E-3</v>
      </c>
      <c r="G13" s="737">
        <v>4.0000000000000001E-3</v>
      </c>
      <c r="H13" s="738"/>
      <c r="I13" s="71">
        <v>7.4000000000000003E-3</v>
      </c>
      <c r="J13" s="63"/>
      <c r="K13" s="63"/>
      <c r="L13" s="63"/>
      <c r="M13" s="72">
        <v>3.2000000000000002E-3</v>
      </c>
      <c r="N13" s="739">
        <v>4.0000000000000001E-3</v>
      </c>
      <c r="O13" s="740"/>
      <c r="P13" s="73">
        <v>7.4000000000000003E-3</v>
      </c>
    </row>
    <row r="14" spans="2:16">
      <c r="B14" s="33" t="s">
        <v>473</v>
      </c>
      <c r="C14" s="34" t="s">
        <v>474</v>
      </c>
      <c r="D14" s="35">
        <f t="shared" ref="D14:D16" si="0">G14</f>
        <v>5.5999999999999999E-3</v>
      </c>
      <c r="E14" s="36"/>
      <c r="F14" s="37">
        <v>5.0000000000000001E-3</v>
      </c>
      <c r="G14" s="737">
        <v>5.5999999999999999E-3</v>
      </c>
      <c r="H14" s="738"/>
      <c r="I14" s="71">
        <v>9.7000000000000003E-3</v>
      </c>
      <c r="J14" s="63"/>
      <c r="K14" s="63"/>
      <c r="L14" s="63"/>
      <c r="M14" s="72">
        <v>5.0000000000000001E-3</v>
      </c>
      <c r="N14" s="739">
        <v>5.5999999999999999E-3</v>
      </c>
      <c r="O14" s="740"/>
      <c r="P14" s="73">
        <v>9.7000000000000003E-3</v>
      </c>
    </row>
    <row r="15" spans="2:16">
      <c r="B15" s="33" t="s">
        <v>475</v>
      </c>
      <c r="C15" s="34" t="s">
        <v>476</v>
      </c>
      <c r="D15" s="35">
        <f t="shared" si="0"/>
        <v>1.11E-2</v>
      </c>
      <c r="E15" s="36"/>
      <c r="F15" s="38">
        <v>1.0200000000000001E-2</v>
      </c>
      <c r="G15" s="737">
        <v>1.11E-2</v>
      </c>
      <c r="H15" s="738"/>
      <c r="I15" s="71">
        <v>1.21E-2</v>
      </c>
      <c r="J15" s="63"/>
      <c r="K15" s="63"/>
      <c r="L15" s="63"/>
      <c r="M15" s="74">
        <v>1.0200000000000001E-2</v>
      </c>
      <c r="N15" s="739">
        <v>1.11E-2</v>
      </c>
      <c r="O15" s="740"/>
      <c r="P15" s="73">
        <v>1.21E-2</v>
      </c>
    </row>
    <row r="16" spans="2:16">
      <c r="B16" s="33" t="s">
        <v>477</v>
      </c>
      <c r="C16" s="34" t="s">
        <v>478</v>
      </c>
      <c r="D16" s="35">
        <f t="shared" si="0"/>
        <v>4.0099999999999997E-2</v>
      </c>
      <c r="E16" s="36"/>
      <c r="F16" s="38">
        <v>3.7999999999999999E-2</v>
      </c>
      <c r="G16" s="737">
        <v>4.0099999999999997E-2</v>
      </c>
      <c r="H16" s="738"/>
      <c r="I16" s="71">
        <v>4.6699999999999998E-2</v>
      </c>
      <c r="J16" s="63"/>
      <c r="K16" s="63"/>
      <c r="L16" s="63"/>
      <c r="M16" s="74">
        <v>3.7999999999999999E-2</v>
      </c>
      <c r="N16" s="739">
        <v>4.0099999999999997E-2</v>
      </c>
      <c r="O16" s="740"/>
      <c r="P16" s="73">
        <v>4.6699999999999998E-2</v>
      </c>
    </row>
    <row r="17" spans="2:16">
      <c r="B17" s="731" t="s">
        <v>479</v>
      </c>
      <c r="C17" s="732"/>
      <c r="D17" s="39">
        <f>SUM(D13:D16)</f>
        <v>6.08E-2</v>
      </c>
      <c r="E17" s="40"/>
      <c r="F17" s="41"/>
      <c r="G17" s="741"/>
      <c r="H17" s="742"/>
      <c r="I17" s="75"/>
      <c r="J17" s="63"/>
      <c r="K17" s="63"/>
      <c r="L17" s="63"/>
      <c r="M17" s="76"/>
      <c r="N17" s="743"/>
      <c r="O17" s="744"/>
      <c r="P17" s="77"/>
    </row>
    <row r="18" spans="2:16">
      <c r="B18" s="722"/>
      <c r="C18" s="723"/>
      <c r="D18" s="723"/>
      <c r="E18" s="42"/>
      <c r="F18" s="36"/>
      <c r="G18" s="36"/>
      <c r="H18" s="36"/>
      <c r="I18" s="78"/>
      <c r="J18" s="63"/>
      <c r="K18" s="63"/>
      <c r="L18" s="63"/>
      <c r="M18" s="79"/>
      <c r="N18" s="79"/>
      <c r="O18" s="79"/>
      <c r="P18" s="80"/>
    </row>
    <row r="19" spans="2:16">
      <c r="B19" s="30" t="s">
        <v>480</v>
      </c>
      <c r="C19" s="724" t="s">
        <v>481</v>
      </c>
      <c r="D19" s="725"/>
      <c r="E19" s="31"/>
      <c r="F19" s="43"/>
      <c r="G19" s="745"/>
      <c r="H19" s="746"/>
      <c r="I19" s="81"/>
      <c r="J19" s="63"/>
      <c r="K19" s="63"/>
      <c r="L19" s="63"/>
      <c r="M19" s="82"/>
      <c r="N19" s="747"/>
      <c r="O19" s="748"/>
      <c r="P19" s="83"/>
    </row>
    <row r="20" spans="2:16">
      <c r="B20" s="33" t="s">
        <v>482</v>
      </c>
      <c r="C20" s="34" t="s">
        <v>483</v>
      </c>
      <c r="D20" s="35">
        <v>6.8599999999999994E-2</v>
      </c>
      <c r="E20" s="36"/>
      <c r="F20" s="38">
        <v>6.6400000000000001E-2</v>
      </c>
      <c r="G20" s="737">
        <v>7.2999999999999995E-2</v>
      </c>
      <c r="H20" s="738"/>
      <c r="I20" s="71">
        <v>8.6900000000000005E-2</v>
      </c>
      <c r="J20" s="63"/>
      <c r="K20" s="63"/>
      <c r="L20" s="63"/>
      <c r="M20" s="74">
        <v>6.6400000000000001E-2</v>
      </c>
      <c r="N20" s="739">
        <v>7.2999999999999995E-2</v>
      </c>
      <c r="O20" s="740"/>
      <c r="P20" s="73">
        <v>8.6900000000000005E-2</v>
      </c>
    </row>
    <row r="21" spans="2:16">
      <c r="B21" s="731" t="s">
        <v>484</v>
      </c>
      <c r="C21" s="732"/>
      <c r="D21" s="39">
        <f>SUM(D20)</f>
        <v>6.8599999999999994E-2</v>
      </c>
      <c r="E21" s="40"/>
      <c r="F21" s="41"/>
      <c r="G21" s="741"/>
      <c r="H21" s="742"/>
      <c r="I21" s="75"/>
      <c r="J21" s="63"/>
      <c r="K21" s="63"/>
      <c r="L21" s="63"/>
      <c r="M21" s="76"/>
      <c r="N21" s="743"/>
      <c r="O21" s="744"/>
      <c r="P21" s="77"/>
    </row>
    <row r="22" spans="2:16">
      <c r="B22" s="722"/>
      <c r="C22" s="723"/>
      <c r="D22" s="723"/>
      <c r="E22" s="42"/>
      <c r="F22" s="36"/>
      <c r="G22" s="36"/>
      <c r="H22" s="36"/>
      <c r="I22" s="78"/>
      <c r="J22" s="63"/>
      <c r="K22" s="63"/>
      <c r="L22" s="63"/>
      <c r="M22" s="63"/>
      <c r="N22" s="63"/>
      <c r="O22" s="63"/>
      <c r="P22" s="63"/>
    </row>
    <row r="23" spans="2:16">
      <c r="B23" s="30" t="s">
        <v>485</v>
      </c>
      <c r="C23" s="724" t="s">
        <v>486</v>
      </c>
      <c r="D23" s="725"/>
      <c r="E23" s="31"/>
      <c r="F23" s="726" t="s">
        <v>487</v>
      </c>
      <c r="G23" s="727"/>
      <c r="H23" s="727"/>
      <c r="I23" s="728"/>
      <c r="J23" s="63"/>
      <c r="K23" s="63"/>
      <c r="L23" s="63"/>
      <c r="M23" s="63"/>
      <c r="N23" s="63"/>
      <c r="O23" s="63"/>
      <c r="P23" s="63"/>
    </row>
    <row r="24" spans="2:16" ht="19.5" customHeight="1">
      <c r="B24" s="33" t="s">
        <v>488</v>
      </c>
      <c r="C24" s="34" t="s">
        <v>489</v>
      </c>
      <c r="D24" s="35">
        <v>6.4999999999999997E-3</v>
      </c>
      <c r="E24" s="36"/>
      <c r="F24" s="733" t="s">
        <v>490</v>
      </c>
      <c r="G24" s="692" t="s">
        <v>491</v>
      </c>
      <c r="H24" s="693"/>
      <c r="I24" s="735" t="s">
        <v>492</v>
      </c>
      <c r="J24" s="63"/>
      <c r="K24" s="63"/>
      <c r="L24" s="63"/>
      <c r="M24" s="63"/>
      <c r="N24" s="63"/>
      <c r="O24" s="63"/>
      <c r="P24" s="63"/>
    </row>
    <row r="25" spans="2:16" ht="19.5" customHeight="1">
      <c r="B25" s="33" t="s">
        <v>493</v>
      </c>
      <c r="C25" s="34" t="s">
        <v>494</v>
      </c>
      <c r="D25" s="35">
        <v>0.03</v>
      </c>
      <c r="E25" s="36"/>
      <c r="F25" s="734"/>
      <c r="G25" s="694"/>
      <c r="H25" s="695"/>
      <c r="I25" s="736"/>
      <c r="J25" s="63"/>
      <c r="K25" s="63"/>
      <c r="L25" s="63"/>
      <c r="M25" s="63"/>
      <c r="N25" s="63"/>
      <c r="O25" s="63"/>
      <c r="P25" s="63"/>
    </row>
    <row r="26" spans="2:16">
      <c r="B26" s="712" t="s">
        <v>495</v>
      </c>
      <c r="C26" s="716" t="s">
        <v>496</v>
      </c>
      <c r="D26" s="720">
        <f>I27</f>
        <v>0.03</v>
      </c>
      <c r="E26" s="36"/>
      <c r="F26" s="46"/>
      <c r="G26" s="36"/>
      <c r="H26" s="36"/>
      <c r="I26" s="78"/>
      <c r="J26" s="63"/>
      <c r="K26" s="63"/>
      <c r="L26" s="63"/>
      <c r="M26" s="63"/>
      <c r="N26" s="63"/>
      <c r="O26" s="63"/>
      <c r="P26" s="63"/>
    </row>
    <row r="27" spans="2:16">
      <c r="B27" s="713"/>
      <c r="C27" s="717"/>
      <c r="D27" s="721"/>
      <c r="E27" s="36"/>
      <c r="F27" s="47">
        <v>0.05</v>
      </c>
      <c r="G27" s="729">
        <v>0.6</v>
      </c>
      <c r="H27" s="730"/>
      <c r="I27" s="84">
        <f>G27*F27</f>
        <v>0.03</v>
      </c>
      <c r="J27" s="63"/>
      <c r="K27" s="63"/>
      <c r="L27" s="63"/>
      <c r="M27" s="63"/>
      <c r="N27" s="63"/>
      <c r="O27" s="63"/>
      <c r="P27" s="63"/>
    </row>
    <row r="28" spans="2:16">
      <c r="B28" s="44" t="s">
        <v>497</v>
      </c>
      <c r="C28" s="48" t="s">
        <v>498</v>
      </c>
      <c r="D28" s="45">
        <v>0</v>
      </c>
      <c r="E28" s="36"/>
      <c r="F28" s="49"/>
      <c r="G28" s="49"/>
      <c r="H28" s="49"/>
      <c r="I28" s="85"/>
      <c r="J28" s="63"/>
      <c r="K28" s="63"/>
      <c r="L28" s="63"/>
      <c r="M28" s="63"/>
      <c r="N28" s="63"/>
      <c r="O28" s="63"/>
      <c r="P28" s="63"/>
    </row>
    <row r="29" spans="2:16">
      <c r="B29" s="731" t="s">
        <v>499</v>
      </c>
      <c r="C29" s="732"/>
      <c r="D29" s="39">
        <f>SUM(D24:D28)</f>
        <v>6.6500000000000004E-2</v>
      </c>
      <c r="E29" s="40"/>
      <c r="F29" s="50"/>
      <c r="G29" s="50"/>
      <c r="H29" s="50"/>
      <c r="I29" s="86"/>
      <c r="J29" s="63"/>
      <c r="K29" s="63"/>
      <c r="L29" s="63"/>
      <c r="M29" s="63"/>
      <c r="N29" s="63"/>
      <c r="O29" s="63"/>
      <c r="P29" s="63"/>
    </row>
    <row r="30" spans="2:16">
      <c r="B30" s="708"/>
      <c r="C30" s="709"/>
      <c r="D30" s="709"/>
      <c r="E30" s="42"/>
      <c r="F30" s="50"/>
      <c r="G30" s="50"/>
      <c r="H30" s="50"/>
      <c r="I30" s="86"/>
      <c r="J30" s="63"/>
      <c r="K30" s="63"/>
      <c r="L30" s="63"/>
      <c r="M30" s="63"/>
      <c r="N30" s="63"/>
      <c r="O30" s="63"/>
      <c r="P30" s="63"/>
    </row>
    <row r="31" spans="2:16">
      <c r="B31" s="51"/>
      <c r="C31" s="31" t="s">
        <v>500</v>
      </c>
      <c r="D31" s="52"/>
      <c r="E31" s="52"/>
      <c r="F31" s="50"/>
      <c r="G31" s="50"/>
      <c r="H31" s="50"/>
      <c r="I31" s="86"/>
      <c r="J31" s="63"/>
      <c r="K31" s="63"/>
      <c r="L31" s="63"/>
      <c r="M31" s="63"/>
      <c r="N31" s="63"/>
      <c r="O31" s="63"/>
      <c r="P31" s="63"/>
    </row>
    <row r="32" spans="2:16">
      <c r="B32" s="53"/>
      <c r="C32" s="42"/>
      <c r="D32" s="42"/>
      <c r="E32" s="42"/>
      <c r="F32" s="50"/>
      <c r="G32" s="50"/>
      <c r="H32" s="50"/>
      <c r="I32" s="86"/>
      <c r="J32" s="63"/>
      <c r="K32" s="63"/>
      <c r="L32" s="63"/>
      <c r="M32" s="63"/>
      <c r="N32" s="63"/>
      <c r="O32" s="63"/>
      <c r="P32" s="63"/>
    </row>
    <row r="33" spans="2:9">
      <c r="B33" s="682" t="s">
        <v>501</v>
      </c>
      <c r="C33" s="683"/>
      <c r="D33" s="684"/>
      <c r="E33" s="54"/>
      <c r="F33" s="50"/>
      <c r="G33" s="50"/>
      <c r="H33" s="50"/>
      <c r="I33" s="86"/>
    </row>
    <row r="34" spans="2:9">
      <c r="B34" s="685"/>
      <c r="C34" s="686"/>
      <c r="D34" s="687"/>
      <c r="E34" s="54"/>
      <c r="F34" s="50"/>
      <c r="G34" s="50"/>
      <c r="H34" s="50"/>
      <c r="I34" s="86"/>
    </row>
    <row r="35" spans="2:9">
      <c r="B35" s="55"/>
      <c r="C35" s="56"/>
      <c r="D35" s="57"/>
      <c r="E35" s="57"/>
      <c r="F35" s="50"/>
      <c r="G35" s="50"/>
      <c r="H35" s="50"/>
      <c r="I35" s="86"/>
    </row>
    <row r="36" spans="2:9" ht="15.75">
      <c r="B36" s="688" t="s">
        <v>502</v>
      </c>
      <c r="C36" s="689"/>
      <c r="D36" s="58">
        <f>(((1+D16+D13+D14)*(1+D15)*(1+D21))/(1-D29))-1</f>
        <v>0.21495489508516399</v>
      </c>
      <c r="E36" s="59"/>
      <c r="F36" s="50"/>
      <c r="G36" s="50"/>
      <c r="H36" s="50"/>
      <c r="I36" s="86"/>
    </row>
    <row r="37" spans="2:9" ht="15.75">
      <c r="B37" s="690"/>
      <c r="C37" s="691"/>
      <c r="D37" s="60"/>
      <c r="E37" s="61"/>
      <c r="F37" s="62"/>
      <c r="G37" s="62"/>
      <c r="H37" s="62"/>
      <c r="I37" s="87"/>
    </row>
  </sheetData>
  <mergeCells count="52">
    <mergeCell ref="B2:I2"/>
    <mergeCell ref="B3:I3"/>
    <mergeCell ref="C4:I4"/>
    <mergeCell ref="C5:I5"/>
    <mergeCell ref="B6:I6"/>
    <mergeCell ref="M7:P7"/>
    <mergeCell ref="B8:D8"/>
    <mergeCell ref="G10:H10"/>
    <mergeCell ref="N10:O10"/>
    <mergeCell ref="B11:D11"/>
    <mergeCell ref="C12:D12"/>
    <mergeCell ref="G12:H12"/>
    <mergeCell ref="N12:O12"/>
    <mergeCell ref="G13:H13"/>
    <mergeCell ref="N13:O13"/>
    <mergeCell ref="G14:H14"/>
    <mergeCell ref="N14:O14"/>
    <mergeCell ref="G15:H15"/>
    <mergeCell ref="N15:O15"/>
    <mergeCell ref="G16:H16"/>
    <mergeCell ref="N16:O16"/>
    <mergeCell ref="B17:C17"/>
    <mergeCell ref="G17:H17"/>
    <mergeCell ref="N17:O17"/>
    <mergeCell ref="B18:D18"/>
    <mergeCell ref="C19:D19"/>
    <mergeCell ref="G19:H19"/>
    <mergeCell ref="N19:O19"/>
    <mergeCell ref="B29:C29"/>
    <mergeCell ref="F24:F25"/>
    <mergeCell ref="I24:I25"/>
    <mergeCell ref="G20:H20"/>
    <mergeCell ref="N20:O20"/>
    <mergeCell ref="B21:C21"/>
    <mergeCell ref="G21:H21"/>
    <mergeCell ref="N21:O21"/>
    <mergeCell ref="B33:D34"/>
    <mergeCell ref="B36:C37"/>
    <mergeCell ref="G24:H25"/>
    <mergeCell ref="F8:I9"/>
    <mergeCell ref="M8:P9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</mergeCells>
  <pageMargins left="0.78740157480314998" right="0.78740157480314998" top="0.78740157480314998" bottom="0.78740157480314998" header="0.31496062992126" footer="0.31496062992126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0.39994506668294322"/>
    <pageSetUpPr fitToPage="1"/>
  </sheetPr>
  <dimension ref="B1:E46"/>
  <sheetViews>
    <sheetView view="pageBreakPreview" topLeftCell="A23" zoomScaleNormal="130" workbookViewId="0">
      <selection activeCell="L15" sqref="L15"/>
    </sheetView>
  </sheetViews>
  <sheetFormatPr defaultColWidth="9" defaultRowHeight="12.75"/>
  <cols>
    <col min="1" max="1" width="1.7109375" customWidth="1"/>
    <col min="3" max="3" width="44.85546875" customWidth="1"/>
    <col min="4" max="4" width="14.85546875" customWidth="1"/>
    <col min="5" max="5" width="18.42578125" customWidth="1"/>
  </cols>
  <sheetData>
    <row r="1" spans="2:5" ht="8.1" customHeight="1"/>
    <row r="2" spans="2:5">
      <c r="B2" s="787" t="s">
        <v>503</v>
      </c>
      <c r="C2" s="788"/>
      <c r="D2" s="788"/>
      <c r="E2" s="781"/>
    </row>
    <row r="3" spans="2:5">
      <c r="B3" s="789" t="s">
        <v>170</v>
      </c>
      <c r="C3" s="790"/>
      <c r="D3" s="790"/>
      <c r="E3" s="782"/>
    </row>
    <row r="4" spans="2:5">
      <c r="B4" s="791" t="s">
        <v>504</v>
      </c>
      <c r="C4" s="792"/>
      <c r="D4" s="792"/>
      <c r="E4" s="782"/>
    </row>
    <row r="5" spans="2:5">
      <c r="B5" s="1"/>
      <c r="C5" s="2"/>
      <c r="D5" s="2"/>
      <c r="E5" s="3"/>
    </row>
    <row r="6" spans="2:5" ht="55.5" customHeight="1">
      <c r="B6" s="793" t="s">
        <v>15</v>
      </c>
      <c r="C6" s="794"/>
      <c r="D6" s="794"/>
      <c r="E6" s="795"/>
    </row>
    <row r="7" spans="2:5">
      <c r="B7" s="4"/>
      <c r="C7" s="5"/>
      <c r="D7" s="5"/>
      <c r="E7" s="6"/>
    </row>
    <row r="8" spans="2:5">
      <c r="B8" s="796" t="s">
        <v>505</v>
      </c>
      <c r="C8" s="797"/>
      <c r="D8" s="797"/>
      <c r="E8" s="798"/>
    </row>
    <row r="9" spans="2:5">
      <c r="B9" s="4"/>
      <c r="C9" s="5"/>
      <c r="D9" s="5"/>
      <c r="E9" s="6"/>
    </row>
    <row r="10" spans="2:5" ht="15">
      <c r="B10" s="783" t="s">
        <v>506</v>
      </c>
      <c r="C10" s="784"/>
      <c r="D10" s="7" t="s">
        <v>507</v>
      </c>
      <c r="E10" s="8" t="s">
        <v>508</v>
      </c>
    </row>
    <row r="11" spans="2:5" ht="15">
      <c r="B11" s="783"/>
      <c r="C11" s="784"/>
      <c r="D11" s="7" t="s">
        <v>31</v>
      </c>
      <c r="E11" s="8" t="s">
        <v>31</v>
      </c>
    </row>
    <row r="12" spans="2:5">
      <c r="B12" s="9" t="s">
        <v>509</v>
      </c>
      <c r="C12" s="785" t="s">
        <v>510</v>
      </c>
      <c r="D12" s="785"/>
      <c r="E12" s="786"/>
    </row>
    <row r="13" spans="2:5">
      <c r="B13" s="10" t="s">
        <v>471</v>
      </c>
      <c r="C13" s="11" t="s">
        <v>511</v>
      </c>
      <c r="D13" s="12">
        <v>20</v>
      </c>
      <c r="E13" s="13">
        <v>20</v>
      </c>
    </row>
    <row r="14" spans="2:5">
      <c r="B14" s="10" t="s">
        <v>473</v>
      </c>
      <c r="C14" s="11" t="s">
        <v>512</v>
      </c>
      <c r="D14" s="12">
        <v>1.5</v>
      </c>
      <c r="E14" s="13">
        <v>1.5</v>
      </c>
    </row>
    <row r="15" spans="2:5">
      <c r="B15" s="10" t="s">
        <v>475</v>
      </c>
      <c r="C15" s="11" t="s">
        <v>513</v>
      </c>
      <c r="D15" s="12">
        <v>1</v>
      </c>
      <c r="E15" s="13">
        <v>1</v>
      </c>
    </row>
    <row r="16" spans="2:5">
      <c r="B16" s="10" t="s">
        <v>477</v>
      </c>
      <c r="C16" s="11" t="s">
        <v>514</v>
      </c>
      <c r="D16" s="12">
        <v>0.2</v>
      </c>
      <c r="E16" s="13">
        <v>0.2</v>
      </c>
    </row>
    <row r="17" spans="2:5">
      <c r="B17" s="10" t="s">
        <v>515</v>
      </c>
      <c r="C17" s="11" t="s">
        <v>516</v>
      </c>
      <c r="D17" s="12">
        <v>0.6</v>
      </c>
      <c r="E17" s="13">
        <v>0.6</v>
      </c>
    </row>
    <row r="18" spans="2:5">
      <c r="B18" s="10" t="s">
        <v>517</v>
      </c>
      <c r="C18" s="11" t="s">
        <v>518</v>
      </c>
      <c r="D18" s="12">
        <v>2.5</v>
      </c>
      <c r="E18" s="13">
        <v>2.5</v>
      </c>
    </row>
    <row r="19" spans="2:5">
      <c r="B19" s="10" t="s">
        <v>519</v>
      </c>
      <c r="C19" s="11" t="s">
        <v>520</v>
      </c>
      <c r="D19" s="12">
        <v>3</v>
      </c>
      <c r="E19" s="13">
        <v>3</v>
      </c>
    </row>
    <row r="20" spans="2:5">
      <c r="B20" s="10" t="s">
        <v>521</v>
      </c>
      <c r="C20" s="11" t="s">
        <v>522</v>
      </c>
      <c r="D20" s="12">
        <v>8</v>
      </c>
      <c r="E20" s="13">
        <v>8</v>
      </c>
    </row>
    <row r="21" spans="2:5">
      <c r="B21" s="10" t="s">
        <v>523</v>
      </c>
      <c r="C21" s="11" t="s">
        <v>524</v>
      </c>
      <c r="D21" s="12">
        <v>0</v>
      </c>
      <c r="E21" s="13">
        <v>0</v>
      </c>
    </row>
    <row r="22" spans="2:5" ht="12.95" customHeight="1">
      <c r="B22" s="775" t="s">
        <v>525</v>
      </c>
      <c r="C22" s="776"/>
      <c r="D22" s="14">
        <f>SUM(D13:D21)</f>
        <v>36.799999999999997</v>
      </c>
      <c r="E22" s="15">
        <f>SUM(E13:E21)</f>
        <v>36.799999999999997</v>
      </c>
    </row>
    <row r="23" spans="2:5" ht="12.95" customHeight="1">
      <c r="B23" s="16" t="s">
        <v>526</v>
      </c>
      <c r="C23" s="777" t="s">
        <v>527</v>
      </c>
      <c r="D23" s="777"/>
      <c r="E23" s="778"/>
    </row>
    <row r="24" spans="2:5">
      <c r="B24" s="10" t="s">
        <v>528</v>
      </c>
      <c r="C24" s="11" t="s">
        <v>529</v>
      </c>
      <c r="D24" s="12">
        <v>17.989999999999998</v>
      </c>
      <c r="E24" s="17" t="s">
        <v>530</v>
      </c>
    </row>
    <row r="25" spans="2:5">
      <c r="B25" s="10" t="s">
        <v>531</v>
      </c>
      <c r="C25" s="11" t="s">
        <v>532</v>
      </c>
      <c r="D25" s="12">
        <v>3.97</v>
      </c>
      <c r="E25" s="17" t="s">
        <v>530</v>
      </c>
    </row>
    <row r="26" spans="2:5">
      <c r="B26" s="10" t="s">
        <v>533</v>
      </c>
      <c r="C26" s="11" t="s">
        <v>534</v>
      </c>
      <c r="D26" s="12">
        <v>0.86</v>
      </c>
      <c r="E26" s="17">
        <v>0.64</v>
      </c>
    </row>
    <row r="27" spans="2:5">
      <c r="B27" s="10" t="s">
        <v>535</v>
      </c>
      <c r="C27" s="11" t="s">
        <v>536</v>
      </c>
      <c r="D27" s="12">
        <v>11.19</v>
      </c>
      <c r="E27" s="17">
        <v>8.33</v>
      </c>
    </row>
    <row r="28" spans="2:5">
      <c r="B28" s="10" t="s">
        <v>537</v>
      </c>
      <c r="C28" s="11" t="s">
        <v>538</v>
      </c>
      <c r="D28" s="12">
        <v>0.06</v>
      </c>
      <c r="E28" s="17">
        <v>0.04</v>
      </c>
    </row>
    <row r="29" spans="2:5">
      <c r="B29" s="10" t="s">
        <v>539</v>
      </c>
      <c r="C29" s="11" t="s">
        <v>540</v>
      </c>
      <c r="D29" s="12">
        <v>0.75</v>
      </c>
      <c r="E29" s="17">
        <v>0.56000000000000005</v>
      </c>
    </row>
    <row r="30" spans="2:5">
      <c r="B30" s="10" t="s">
        <v>541</v>
      </c>
      <c r="C30" s="11" t="s">
        <v>542</v>
      </c>
      <c r="D30" s="12">
        <v>2.17</v>
      </c>
      <c r="E30" s="17" t="s">
        <v>530</v>
      </c>
    </row>
    <row r="31" spans="2:5">
      <c r="B31" s="10" t="s">
        <v>543</v>
      </c>
      <c r="C31" s="11" t="s">
        <v>544</v>
      </c>
      <c r="D31" s="12">
        <v>0.1</v>
      </c>
      <c r="E31" s="17">
        <v>0.08</v>
      </c>
    </row>
    <row r="32" spans="2:5">
      <c r="B32" s="10" t="s">
        <v>545</v>
      </c>
      <c r="C32" s="11" t="s">
        <v>546</v>
      </c>
      <c r="D32" s="12">
        <v>13.8</v>
      </c>
      <c r="E32" s="17">
        <v>10.27</v>
      </c>
    </row>
    <row r="33" spans="2:5">
      <c r="B33" s="10" t="s">
        <v>547</v>
      </c>
      <c r="C33" s="11" t="s">
        <v>548</v>
      </c>
      <c r="D33" s="12">
        <v>0.04</v>
      </c>
      <c r="E33" s="17">
        <v>0.03</v>
      </c>
    </row>
    <row r="34" spans="2:5" ht="12.95" customHeight="1">
      <c r="B34" s="775" t="s">
        <v>549</v>
      </c>
      <c r="C34" s="776"/>
      <c r="D34" s="14">
        <f>SUM(D24:D33)</f>
        <v>50.93</v>
      </c>
      <c r="E34" s="18">
        <f>SUM(E26,E27,E28,E29,E31,E32,E33)</f>
        <v>19.95</v>
      </c>
    </row>
    <row r="35" spans="2:5" ht="12.95" customHeight="1">
      <c r="B35" s="16" t="s">
        <v>550</v>
      </c>
      <c r="C35" s="777" t="s">
        <v>551</v>
      </c>
      <c r="D35" s="777"/>
      <c r="E35" s="778"/>
    </row>
    <row r="36" spans="2:5">
      <c r="B36" s="10" t="s">
        <v>552</v>
      </c>
      <c r="C36" s="11" t="s">
        <v>553</v>
      </c>
      <c r="D36" s="12">
        <v>5.55</v>
      </c>
      <c r="E36" s="13">
        <v>4.13</v>
      </c>
    </row>
    <row r="37" spans="2:5">
      <c r="B37" s="10" t="s">
        <v>554</v>
      </c>
      <c r="C37" s="11" t="s">
        <v>555</v>
      </c>
      <c r="D37" s="12">
        <v>0.13</v>
      </c>
      <c r="E37" s="13">
        <v>0.1</v>
      </c>
    </row>
    <row r="38" spans="2:5">
      <c r="B38" s="10" t="s">
        <v>556</v>
      </c>
      <c r="C38" s="11" t="s">
        <v>557</v>
      </c>
      <c r="D38" s="12">
        <v>0.91</v>
      </c>
      <c r="E38" s="13">
        <v>0.68</v>
      </c>
    </row>
    <row r="39" spans="2:5">
      <c r="B39" s="10" t="s">
        <v>558</v>
      </c>
      <c r="C39" s="11" t="s">
        <v>559</v>
      </c>
      <c r="D39" s="12">
        <v>2.62</v>
      </c>
      <c r="E39" s="13">
        <v>1.95</v>
      </c>
    </row>
    <row r="40" spans="2:5">
      <c r="B40" s="10" t="s">
        <v>560</v>
      </c>
      <c r="C40" s="11" t="s">
        <v>561</v>
      </c>
      <c r="D40" s="12">
        <v>0.47</v>
      </c>
      <c r="E40" s="13">
        <v>0.35</v>
      </c>
    </row>
    <row r="41" spans="2:5" ht="12.95" customHeight="1">
      <c r="B41" s="775" t="s">
        <v>562</v>
      </c>
      <c r="C41" s="776"/>
      <c r="D41" s="14">
        <f>SUM(D36:D40)</f>
        <v>9.68</v>
      </c>
      <c r="E41" s="15">
        <f>SUM(E36:E40)</f>
        <v>7.21</v>
      </c>
    </row>
    <row r="42" spans="2:5" ht="13.5" customHeight="1">
      <c r="B42" s="16" t="s">
        <v>563</v>
      </c>
      <c r="C42" s="777" t="s">
        <v>564</v>
      </c>
      <c r="D42" s="777"/>
      <c r="E42" s="778"/>
    </row>
    <row r="43" spans="2:5">
      <c r="B43" s="10" t="s">
        <v>565</v>
      </c>
      <c r="C43" s="11" t="s">
        <v>566</v>
      </c>
      <c r="D43" s="12">
        <v>18.739999999999998</v>
      </c>
      <c r="E43" s="13">
        <v>7.34</v>
      </c>
    </row>
    <row r="44" spans="2:5" ht="38.25">
      <c r="B44" s="10" t="s">
        <v>567</v>
      </c>
      <c r="C44" s="11" t="s">
        <v>568</v>
      </c>
      <c r="D44" s="12">
        <v>0.49</v>
      </c>
      <c r="E44" s="13">
        <v>0.37</v>
      </c>
    </row>
    <row r="45" spans="2:5" ht="12.95" customHeight="1">
      <c r="B45" s="775" t="s">
        <v>569</v>
      </c>
      <c r="C45" s="776"/>
      <c r="D45" s="14">
        <f>SUM(D43:D44)</f>
        <v>19.23</v>
      </c>
      <c r="E45" s="15">
        <f>SUM(E43:E44)</f>
        <v>7.71</v>
      </c>
    </row>
    <row r="46" spans="2:5" ht="38.25" customHeight="1">
      <c r="B46" s="779" t="s">
        <v>570</v>
      </c>
      <c r="C46" s="780"/>
      <c r="D46" s="19">
        <f>SUM(D22,D34,D41,D45)</f>
        <v>116.64</v>
      </c>
      <c r="E46" s="20">
        <f>SUM(E22,E34,E41,E45)</f>
        <v>71.67</v>
      </c>
    </row>
  </sheetData>
  <mergeCells count="16">
    <mergeCell ref="B41:C41"/>
    <mergeCell ref="C42:E42"/>
    <mergeCell ref="B45:C45"/>
    <mergeCell ref="B46:C46"/>
    <mergeCell ref="E2:E4"/>
    <mergeCell ref="B10:C11"/>
    <mergeCell ref="C12:E12"/>
    <mergeCell ref="B22:C22"/>
    <mergeCell ref="C23:E23"/>
    <mergeCell ref="B34:C34"/>
    <mergeCell ref="C35:E35"/>
    <mergeCell ref="B2:D2"/>
    <mergeCell ref="B3:D3"/>
    <mergeCell ref="B4:D4"/>
    <mergeCell ref="B6:E6"/>
    <mergeCell ref="B8:E8"/>
  </mergeCells>
  <pageMargins left="0.98425196850393704" right="0.59055118110236204" top="0.98425196850393704" bottom="0.78740157480314998" header="0.31496062992126" footer="0.3149606299212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4506668294322"/>
    <pageSetUpPr fitToPage="1"/>
  </sheetPr>
  <dimension ref="B2:R52"/>
  <sheetViews>
    <sheetView tabSelected="1" view="pageBreakPreview" zoomScale="90" zoomScaleNormal="90" zoomScaleSheetLayoutView="90" workbookViewId="0">
      <selection activeCell="R12" sqref="R12"/>
    </sheetView>
  </sheetViews>
  <sheetFormatPr defaultColWidth="9.140625" defaultRowHeight="12.75"/>
  <cols>
    <col min="1" max="1" width="3" style="89" customWidth="1"/>
    <col min="2" max="2" width="6.5703125" style="89" customWidth="1"/>
    <col min="3" max="4" width="11.5703125" style="89" customWidth="1"/>
    <col min="5" max="5" width="67.7109375" style="89" customWidth="1"/>
    <col min="6" max="6" width="7" style="89" customWidth="1"/>
    <col min="7" max="8" width="13.85546875" style="91" hidden="1" customWidth="1"/>
    <col min="9" max="9" width="30.5703125" style="91" customWidth="1"/>
    <col min="10" max="10" width="13.85546875" style="91" customWidth="1"/>
    <col min="11" max="11" width="15.140625" style="91" customWidth="1"/>
    <col min="12" max="12" width="24.140625" style="381" customWidth="1"/>
    <col min="13" max="14" width="11.140625" style="315" customWidth="1"/>
    <col min="15" max="15" width="10.140625" style="89" customWidth="1"/>
    <col min="16" max="16" width="15.85546875" style="89" customWidth="1"/>
    <col min="17" max="17" width="9.140625" style="89"/>
    <col min="18" max="18" width="11.5703125" style="89" bestFit="1" customWidth="1"/>
    <col min="19" max="16384" width="9.140625" style="89"/>
  </cols>
  <sheetData>
    <row r="2" spans="2:18" s="92" customFormat="1" ht="15.95" customHeight="1">
      <c r="B2" s="504" t="s">
        <v>10</v>
      </c>
      <c r="C2" s="505"/>
      <c r="D2" s="505"/>
      <c r="E2" s="505"/>
      <c r="F2" s="505"/>
      <c r="G2" s="505"/>
      <c r="H2" s="505"/>
      <c r="I2" s="505"/>
      <c r="J2" s="505"/>
      <c r="K2" s="513" t="s">
        <v>11</v>
      </c>
      <c r="L2" s="514"/>
      <c r="M2" s="515"/>
      <c r="N2" s="458"/>
    </row>
    <row r="3" spans="2:18" s="92" customFormat="1" ht="15.95" customHeight="1">
      <c r="B3" s="506" t="s">
        <v>12</v>
      </c>
      <c r="C3" s="507"/>
      <c r="D3" s="507"/>
      <c r="E3" s="507"/>
      <c r="F3" s="507"/>
      <c r="G3" s="507"/>
      <c r="H3" s="507"/>
      <c r="I3" s="507"/>
      <c r="J3" s="507"/>
      <c r="K3" s="516"/>
      <c r="L3" s="517"/>
      <c r="M3" s="518"/>
      <c r="N3" s="458"/>
    </row>
    <row r="4" spans="2:18" s="92" customFormat="1" ht="15.95" customHeight="1">
      <c r="B4" s="506" t="s">
        <v>13</v>
      </c>
      <c r="C4" s="507"/>
      <c r="D4" s="507"/>
      <c r="E4" s="507"/>
      <c r="F4" s="507"/>
      <c r="G4" s="507"/>
      <c r="H4" s="507"/>
      <c r="I4" s="507"/>
      <c r="J4" s="507"/>
      <c r="K4" s="516"/>
      <c r="L4" s="517"/>
      <c r="M4" s="518"/>
      <c r="N4" s="458"/>
    </row>
    <row r="5" spans="2:18" ht="15.95" customHeight="1">
      <c r="B5" s="508" t="s">
        <v>14</v>
      </c>
      <c r="C5" s="509"/>
      <c r="D5" s="509"/>
      <c r="E5" s="509"/>
      <c r="F5" s="509"/>
      <c r="G5" s="509"/>
      <c r="H5" s="509"/>
      <c r="I5" s="509"/>
      <c r="J5" s="509"/>
      <c r="K5" s="519"/>
      <c r="L5" s="520"/>
      <c r="M5" s="521"/>
      <c r="N5" s="458"/>
    </row>
    <row r="6" spans="2:18" ht="60.75" customHeight="1">
      <c r="B6" s="510" t="s">
        <v>15</v>
      </c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2"/>
      <c r="N6" s="470"/>
    </row>
    <row r="7" spans="2:18" ht="30.95" customHeight="1">
      <c r="B7" s="498" t="s">
        <v>16</v>
      </c>
      <c r="C7" s="499"/>
      <c r="D7" s="499"/>
      <c r="E7" s="499"/>
      <c r="F7" s="500"/>
      <c r="G7" s="500"/>
      <c r="H7" s="413"/>
      <c r="I7" s="413" t="s">
        <v>17</v>
      </c>
      <c r="J7" s="420">
        <f>ROUND(BDI!D36,4)</f>
        <v>0.215</v>
      </c>
      <c r="K7" s="500" t="s">
        <v>18</v>
      </c>
      <c r="L7" s="500"/>
      <c r="M7" s="421">
        <f>'Planilha Unitária'!K7</f>
        <v>1.1664000000000001</v>
      </c>
      <c r="N7" s="471"/>
    </row>
    <row r="8" spans="2:18" ht="21.95" customHeight="1">
      <c r="B8" s="501" t="s">
        <v>19</v>
      </c>
      <c r="C8" s="502"/>
      <c r="D8" s="502"/>
      <c r="E8" s="502"/>
      <c r="F8" s="502"/>
      <c r="G8" s="502"/>
      <c r="H8" s="502"/>
      <c r="I8" s="502"/>
      <c r="J8" s="502"/>
      <c r="K8" s="502"/>
      <c r="L8" s="502"/>
      <c r="M8" s="503"/>
      <c r="N8" s="457"/>
    </row>
    <row r="9" spans="2:18" ht="51.6" customHeight="1">
      <c r="B9" s="414" t="s">
        <v>20</v>
      </c>
      <c r="C9" s="415" t="s">
        <v>21</v>
      </c>
      <c r="D9" s="415" t="s">
        <v>22</v>
      </c>
      <c r="E9" s="415" t="s">
        <v>23</v>
      </c>
      <c r="F9" s="416" t="s">
        <v>24</v>
      </c>
      <c r="G9" s="417" t="s">
        <v>25</v>
      </c>
      <c r="H9" s="417" t="s">
        <v>26</v>
      </c>
      <c r="I9" s="122" t="s">
        <v>27</v>
      </c>
      <c r="J9" s="417" t="s">
        <v>28</v>
      </c>
      <c r="K9" s="422" t="s">
        <v>29</v>
      </c>
      <c r="L9" s="122" t="s">
        <v>30</v>
      </c>
      <c r="M9" s="423" t="s">
        <v>31</v>
      </c>
      <c r="N9" s="472"/>
      <c r="P9" s="402"/>
    </row>
    <row r="10" spans="2:18" ht="20.100000000000001" customHeight="1">
      <c r="B10" s="418">
        <f>'Planilha Unitária'!B10</f>
        <v>1</v>
      </c>
      <c r="C10" s="467" t="str">
        <f>'Planilha Unitária'!C10</f>
        <v>SERVIÇOS PRELIMINARES</v>
      </c>
      <c r="D10" s="468"/>
      <c r="E10" s="469"/>
      <c r="F10" s="466"/>
      <c r="G10" s="466"/>
      <c r="H10" s="466"/>
      <c r="I10" s="466"/>
      <c r="J10" s="466"/>
      <c r="K10" s="466"/>
      <c r="L10" s="466"/>
      <c r="M10" s="424" t="s">
        <v>31</v>
      </c>
      <c r="N10" s="473"/>
      <c r="Q10" s="459" t="s">
        <v>571</v>
      </c>
      <c r="R10" s="475">
        <f>SUMIF(O:O,Q10,N:N)</f>
        <v>0.87307611467140256</v>
      </c>
    </row>
    <row r="11" spans="2:18" ht="28.5" customHeight="1">
      <c r="B11" s="419" t="str">
        <f>'Planilha Unitária'!B11</f>
        <v>1.1</v>
      </c>
      <c r="C11" s="390" t="str">
        <f>'Planilha Unitária'!C11</f>
        <v>CPU-01</v>
      </c>
      <c r="D11" s="390" t="str">
        <f>'Planilha Unitária'!D11</f>
        <v>CODEVASF</v>
      </c>
      <c r="E11" s="391" t="str">
        <f>'Planilha Unitária'!E11</f>
        <v>Administração Local do Canteiro de Obras</v>
      </c>
      <c r="F11" s="389" t="str">
        <f>'Planilha Unitária'!F11</f>
        <v>%</v>
      </c>
      <c r="G11" s="392">
        <f>1/H11</f>
        <v>0.05</v>
      </c>
      <c r="H11" s="395">
        <v>20</v>
      </c>
      <c r="I11" s="392">
        <f>G11*H11</f>
        <v>1</v>
      </c>
      <c r="J11" s="393">
        <f>'CPU CODEVASF E SINAPI'!I16</f>
        <v>22216</v>
      </c>
      <c r="K11" s="393">
        <f>ROUND((1+$J$7)*J11,2)</f>
        <v>26992.44</v>
      </c>
      <c r="L11" s="393">
        <f>H11*(ROUND(I11*K11,2))</f>
        <v>539848.79999999993</v>
      </c>
      <c r="M11" s="425">
        <f t="shared" ref="M11:M19" si="0">((L11/$L$49))</f>
        <v>0.110636071624376</v>
      </c>
      <c r="N11" s="474">
        <f>M11</f>
        <v>0.110636071624376</v>
      </c>
      <c r="O11" s="459" t="s">
        <v>571</v>
      </c>
      <c r="Q11" s="459" t="s">
        <v>363</v>
      </c>
      <c r="R11" s="475">
        <f>SUMIF(O:O,Q11,N:N)</f>
        <v>0.12692388532859755</v>
      </c>
    </row>
    <row r="12" spans="2:18" ht="33" customHeight="1">
      <c r="B12" s="419" t="str">
        <f>'Planilha Unitária'!B12</f>
        <v>1.2</v>
      </c>
      <c r="C12" s="390">
        <f>'Planilha Unitária'!C12</f>
        <v>5914640</v>
      </c>
      <c r="D12" s="390" t="str">
        <f>'Planilha Unitária'!D12</f>
        <v>SICRO</v>
      </c>
      <c r="E12" s="391" t="str">
        <f>'Planilha Unitária'!E12</f>
        <v>Transporte com cavalo mecânico com semirreboque com capacidade de 30 t - rodovia pavimentada - mobilização.</v>
      </c>
      <c r="F12" s="389" t="str">
        <f>'Planilha Unitária'!F12</f>
        <v>txkm</v>
      </c>
      <c r="G12" s="394">
        <f>'Planilha Unitária'!G12</f>
        <v>1469.85</v>
      </c>
      <c r="H12" s="394">
        <f>H11</f>
        <v>20</v>
      </c>
      <c r="I12" s="394">
        <f>ROUND(G12*H12,2)</f>
        <v>29397</v>
      </c>
      <c r="J12" s="393">
        <f>'COMPOSIÇÕES SICRO'!I316</f>
        <v>0.57999999999999996</v>
      </c>
      <c r="K12" s="393">
        <f t="shared" ref="K12:K18" si="1">ROUND((1+$J$7)*J12,2)</f>
        <v>0.7</v>
      </c>
      <c r="L12" s="393">
        <f>H12*(ROUND(G12*K12,2))</f>
        <v>20578</v>
      </c>
      <c r="M12" s="425">
        <f t="shared" si="0"/>
        <v>4.2172346810558986E-3</v>
      </c>
      <c r="N12" s="474">
        <f t="shared" ref="N12:N47" si="2">M12</f>
        <v>4.2172346810558986E-3</v>
      </c>
      <c r="O12" s="459" t="s">
        <v>571</v>
      </c>
      <c r="R12" s="475">
        <f>SUM(R10:R11)</f>
        <v>1</v>
      </c>
    </row>
    <row r="13" spans="2:18" ht="36" customHeight="1">
      <c r="B13" s="419" t="str">
        <f>'Planilha Unitária'!B13</f>
        <v>1.3</v>
      </c>
      <c r="C13" s="390">
        <f>'Planilha Unitária'!C13</f>
        <v>5914639</v>
      </c>
      <c r="D13" s="390" t="str">
        <f>'Planilha Unitária'!D13</f>
        <v>SICRO</v>
      </c>
      <c r="E13" s="391" t="str">
        <f>'Planilha Unitária'!E13</f>
        <v>Transporte com cavalo mecânico com semirreboque com capacidade de 30 t - rodovia em revestimento primário - mobilização.</v>
      </c>
      <c r="F13" s="389" t="str">
        <f>'Planilha Unitária'!F13</f>
        <v>txkm</v>
      </c>
      <c r="G13" s="394">
        <f>'Planilha Unitária'!G13</f>
        <v>2939.7</v>
      </c>
      <c r="H13" s="394">
        <f>H12</f>
        <v>20</v>
      </c>
      <c r="I13" s="394">
        <f t="shared" ref="I13:I18" si="3">ROUND(G13*H13,2)</f>
        <v>58794</v>
      </c>
      <c r="J13" s="393">
        <f>'COMPOSIÇÕES SICRO'!I290</f>
        <v>0.69</v>
      </c>
      <c r="K13" s="393">
        <f t="shared" si="1"/>
        <v>0.84</v>
      </c>
      <c r="L13" s="393">
        <f t="shared" ref="L13:L18" si="4">H13*(ROUND(G13*K13,2))</f>
        <v>49387</v>
      </c>
      <c r="M13" s="425">
        <f t="shared" si="0"/>
        <v>1.0121322246734748E-2</v>
      </c>
      <c r="N13" s="474">
        <f t="shared" si="2"/>
        <v>1.0121322246734748E-2</v>
      </c>
      <c r="O13" s="459" t="s">
        <v>571</v>
      </c>
    </row>
    <row r="14" spans="2:18" ht="28.5" customHeight="1">
      <c r="B14" s="419" t="str">
        <f>'Planilha Unitária'!B14</f>
        <v>1.4</v>
      </c>
      <c r="C14" s="390">
        <f>'Planilha Unitária'!C14</f>
        <v>5914640</v>
      </c>
      <c r="D14" s="390" t="str">
        <f>'Planilha Unitária'!D14</f>
        <v>SICRO</v>
      </c>
      <c r="E14" s="391" t="str">
        <f>'Planilha Unitária'!E14</f>
        <v>Transporte com cavalo mecânico com semirreboque com capacidade de 30 t - rodovia pavimentada - Desmobilização.</v>
      </c>
      <c r="F14" s="389" t="str">
        <f>'Planilha Unitária'!F14</f>
        <v>txkm</v>
      </c>
      <c r="G14" s="394">
        <f>'Planilha Unitária'!G14</f>
        <v>1469.85</v>
      </c>
      <c r="H14" s="394">
        <f>H13</f>
        <v>20</v>
      </c>
      <c r="I14" s="394">
        <f t="shared" si="3"/>
        <v>29397</v>
      </c>
      <c r="J14" s="393">
        <f>'COMPOSIÇÕES SICRO'!I316</f>
        <v>0.57999999999999996</v>
      </c>
      <c r="K14" s="393">
        <f t="shared" si="1"/>
        <v>0.7</v>
      </c>
      <c r="L14" s="393">
        <f t="shared" si="4"/>
        <v>20578</v>
      </c>
      <c r="M14" s="425">
        <f t="shared" si="0"/>
        <v>4.2172346810558986E-3</v>
      </c>
      <c r="N14" s="474">
        <f t="shared" si="2"/>
        <v>4.2172346810558986E-3</v>
      </c>
      <c r="O14" s="459" t="s">
        <v>571</v>
      </c>
    </row>
    <row r="15" spans="2:18" ht="33.75" customHeight="1">
      <c r="B15" s="419" t="str">
        <f>'Planilha Unitária'!B15</f>
        <v>1.5</v>
      </c>
      <c r="C15" s="390">
        <f>'Planilha Unitária'!C15</f>
        <v>5914639</v>
      </c>
      <c r="D15" s="390" t="str">
        <f>'Planilha Unitária'!D15</f>
        <v>SICRO</v>
      </c>
      <c r="E15" s="391" t="str">
        <f>'Planilha Unitária'!E15</f>
        <v>Transporte com cavalo mecânico com semirreboque com capacidade de 30 t - rodovia em revestimento primário - Desmobilização.</v>
      </c>
      <c r="F15" s="389" t="str">
        <f>'Planilha Unitária'!F15</f>
        <v>txkm</v>
      </c>
      <c r="G15" s="394">
        <f>'Planilha Unitária'!G15</f>
        <v>2939.7</v>
      </c>
      <c r="H15" s="394">
        <f t="shared" ref="H15:H18" si="5">H14</f>
        <v>20</v>
      </c>
      <c r="I15" s="394">
        <f t="shared" si="3"/>
        <v>58794</v>
      </c>
      <c r="J15" s="393">
        <f>'COMPOSIÇÕES SICRO'!I290</f>
        <v>0.69</v>
      </c>
      <c r="K15" s="393">
        <f t="shared" si="1"/>
        <v>0.84</v>
      </c>
      <c r="L15" s="393">
        <f t="shared" si="4"/>
        <v>49387</v>
      </c>
      <c r="M15" s="425">
        <f t="shared" si="0"/>
        <v>1.0121322246734748E-2</v>
      </c>
      <c r="N15" s="474">
        <f t="shared" si="2"/>
        <v>1.0121322246734748E-2</v>
      </c>
      <c r="O15" s="459" t="s">
        <v>571</v>
      </c>
    </row>
    <row r="16" spans="2:18" ht="24.95" customHeight="1">
      <c r="B16" s="419" t="str">
        <f>'Planilha Unitária'!B16</f>
        <v>1.6</v>
      </c>
      <c r="C16" s="390" t="str">
        <f>'Planilha Unitária'!C16</f>
        <v>CPU-02</v>
      </c>
      <c r="D16" s="390" t="str">
        <f>'Planilha Unitária'!D16</f>
        <v>CODEVASF</v>
      </c>
      <c r="E16" s="391" t="str">
        <f>'Planilha Unitária'!E16</f>
        <v>Placa de obra em chapa de aço galvanizado (1,60 m * 3,20 m)</v>
      </c>
      <c r="F16" s="389" t="str">
        <f>'Planilha Unitária'!F16</f>
        <v>m²</v>
      </c>
      <c r="G16" s="395">
        <f>'Planilha Unitária'!G16</f>
        <v>5.12</v>
      </c>
      <c r="H16" s="394">
        <f t="shared" si="5"/>
        <v>20</v>
      </c>
      <c r="I16" s="394">
        <f t="shared" si="3"/>
        <v>102.4</v>
      </c>
      <c r="J16" s="393">
        <f>'CPU CODEVASF E SINAPI'!I28</f>
        <v>504.81</v>
      </c>
      <c r="K16" s="393">
        <f t="shared" si="1"/>
        <v>613.34</v>
      </c>
      <c r="L16" s="393">
        <f t="shared" si="4"/>
        <v>62806</v>
      </c>
      <c r="M16" s="425">
        <f t="shared" si="0"/>
        <v>1.2871398647992844E-2</v>
      </c>
      <c r="N16" s="474">
        <f t="shared" si="2"/>
        <v>1.2871398647992844E-2</v>
      </c>
      <c r="O16" s="459" t="s">
        <v>571</v>
      </c>
    </row>
    <row r="17" spans="2:15" ht="30" customHeight="1">
      <c r="B17" s="419" t="str">
        <f>'Planilha Unitária'!B17</f>
        <v>1.7</v>
      </c>
      <c r="C17" s="390">
        <f>'Planilha Unitária'!C17</f>
        <v>5088</v>
      </c>
      <c r="D17" s="390" t="str">
        <f>'Planilha Unitária'!D17</f>
        <v>ORSE</v>
      </c>
      <c r="E17" s="391" t="str">
        <f>'Planilha Unitária'!E17</f>
        <v>Barracão de obras de médio porte reapoveitamento 2 vezes</v>
      </c>
      <c r="F17" s="389" t="str">
        <f>'Planilha Unitária'!F17</f>
        <v>m²</v>
      </c>
      <c r="G17" s="394">
        <f>'Planilha Unitária'!G17</f>
        <v>12</v>
      </c>
      <c r="H17" s="394">
        <f t="shared" si="5"/>
        <v>20</v>
      </c>
      <c r="I17" s="394">
        <f t="shared" si="3"/>
        <v>240</v>
      </c>
      <c r="J17" s="393">
        <f>'Preços Insumos e Serviços'!F60</f>
        <v>242.33</v>
      </c>
      <c r="K17" s="393">
        <f t="shared" si="1"/>
        <v>294.43</v>
      </c>
      <c r="L17" s="393">
        <f t="shared" si="4"/>
        <v>70663.199999999997</v>
      </c>
      <c r="M17" s="425">
        <f t="shared" si="0"/>
        <v>1.4481645335522847E-2</v>
      </c>
      <c r="N17" s="474">
        <f t="shared" si="2"/>
        <v>1.4481645335522847E-2</v>
      </c>
      <c r="O17" s="459" t="s">
        <v>571</v>
      </c>
    </row>
    <row r="18" spans="2:15" ht="30.75" customHeight="1">
      <c r="B18" s="419" t="str">
        <f>'Planilha Unitária'!B18</f>
        <v>1.8</v>
      </c>
      <c r="C18" s="390">
        <f>'Planilha Unitária'!C18</f>
        <v>99059</v>
      </c>
      <c r="D18" s="390" t="str">
        <f>'Planilha Unitária'!D18</f>
        <v>SINAPI</v>
      </c>
      <c r="E18" s="391" t="str">
        <f>'Planilha Unitária'!E18</f>
        <v>Locação convencional de obra, utilizando gabarito de tábuas corridas pontaletadas a cada 2,00 m - 2 utilizações</v>
      </c>
      <c r="F18" s="389" t="str">
        <f>'Planilha Unitária'!F18</f>
        <v>m</v>
      </c>
      <c r="G18" s="394">
        <f>'Planilha Unitária'!G18</f>
        <v>112</v>
      </c>
      <c r="H18" s="394">
        <f t="shared" si="5"/>
        <v>20</v>
      </c>
      <c r="I18" s="394">
        <f t="shared" si="3"/>
        <v>2240</v>
      </c>
      <c r="J18" s="393">
        <f>'Preços Insumos e Serviços'!F46</f>
        <v>68.39</v>
      </c>
      <c r="K18" s="393">
        <f t="shared" si="1"/>
        <v>83.09</v>
      </c>
      <c r="L18" s="393">
        <f t="shared" si="4"/>
        <v>186121.60000000001</v>
      </c>
      <c r="M18" s="425">
        <f t="shared" si="0"/>
        <v>3.8143574031179586E-2</v>
      </c>
      <c r="N18" s="474">
        <f t="shared" si="2"/>
        <v>3.8143574031179586E-2</v>
      </c>
      <c r="O18" s="459" t="s">
        <v>571</v>
      </c>
    </row>
    <row r="19" spans="2:15" ht="21.95" customHeight="1">
      <c r="B19" s="460" t="s">
        <v>32</v>
      </c>
      <c r="C19" s="461"/>
      <c r="D19" s="461"/>
      <c r="E19" s="461"/>
      <c r="F19" s="461"/>
      <c r="G19" s="461"/>
      <c r="H19" s="461"/>
      <c r="I19" s="461"/>
      <c r="J19" s="461"/>
      <c r="K19" s="461"/>
      <c r="L19" s="426">
        <f>ROUND(SUM(L11:L18),2)</f>
        <v>999369.6</v>
      </c>
      <c r="M19" s="427">
        <f t="shared" si="0"/>
        <v>0.20480980349465258</v>
      </c>
      <c r="N19" s="474"/>
    </row>
    <row r="20" spans="2:15" s="380" customFormat="1" ht="20.100000000000001" customHeight="1">
      <c r="B20" s="418">
        <f>'Planilha Unitária'!B20</f>
        <v>2</v>
      </c>
      <c r="C20" s="465" t="str">
        <f>'Planilha Unitária'!C20</f>
        <v>TERRAPLENAGEM</v>
      </c>
      <c r="D20" s="465"/>
      <c r="E20" s="465"/>
      <c r="F20" s="466"/>
      <c r="G20" s="466"/>
      <c r="H20" s="466"/>
      <c r="I20" s="466"/>
      <c r="J20" s="466"/>
      <c r="K20" s="466"/>
      <c r="L20" s="466"/>
      <c r="M20" s="424" t="s">
        <v>31</v>
      </c>
      <c r="N20" s="474"/>
    </row>
    <row r="21" spans="2:15" ht="46.5" customHeight="1">
      <c r="B21" s="419" t="str">
        <f>'Planilha Unitária'!B21</f>
        <v>2.1</v>
      </c>
      <c r="C21" s="390">
        <f>'Planilha Unitária'!C21</f>
        <v>5502985</v>
      </c>
      <c r="D21" s="390" t="str">
        <f>'Planilha Unitária'!D21</f>
        <v>SICRO</v>
      </c>
      <c r="E21" s="391" t="str">
        <f>'Planilha Unitária'!E21</f>
        <v>Limpeza mecanizada da camada vegetal com retroescavadeira de pneus com capacidade de 0,76 m³ - 58 Kw</v>
      </c>
      <c r="F21" s="389" t="str">
        <f>'Planilha Unitária'!F21</f>
        <v>m²</v>
      </c>
      <c r="G21" s="396">
        <f>'Planilha Unitária'!G21</f>
        <v>600</v>
      </c>
      <c r="H21" s="396">
        <f>H11</f>
        <v>20</v>
      </c>
      <c r="I21" s="394">
        <f t="shared" ref="I21:I27" si="6">ROUND(G21*H21,2)</f>
        <v>12000</v>
      </c>
      <c r="J21" s="393">
        <f>'Planilha Unitária'!H21</f>
        <v>0.44</v>
      </c>
      <c r="K21" s="393">
        <f t="shared" ref="K21:K27" si="7">ROUND((1+$J$7)*J21,2)</f>
        <v>0.53</v>
      </c>
      <c r="L21" s="393">
        <f t="shared" ref="L21:L27" si="8">H21*(ROUND(G21*K21,2))</f>
        <v>6360</v>
      </c>
      <c r="M21" s="425">
        <f t="shared" ref="M21:M28" si="9">((L21/$L$49))</f>
        <v>1.3034120211641322E-3</v>
      </c>
      <c r="N21" s="474">
        <f t="shared" si="2"/>
        <v>1.3034120211641322E-3</v>
      </c>
      <c r="O21" s="459" t="s">
        <v>363</v>
      </c>
    </row>
    <row r="22" spans="2:15" ht="30" customHeight="1">
      <c r="B22" s="419" t="str">
        <f>'Planilha Unitária'!B22</f>
        <v>2.2</v>
      </c>
      <c r="C22" s="390">
        <f>'Planilha Unitária'!C22</f>
        <v>4016096</v>
      </c>
      <c r="D22" s="390" t="str">
        <f>'Planilha Unitária'!D22</f>
        <v>SICRO</v>
      </c>
      <c r="E22" s="391" t="str">
        <f>'Planilha Unitária'!E22</f>
        <v>Escavação e carga de material de jazida com escavadeira hidráulica de 1,56 m³</v>
      </c>
      <c r="F22" s="389" t="str">
        <f>'Planilha Unitária'!F22</f>
        <v>m³</v>
      </c>
      <c r="G22" s="396">
        <f>'Planilha Unitária'!G22</f>
        <v>630.75</v>
      </c>
      <c r="H22" s="396">
        <f>H21</f>
        <v>20</v>
      </c>
      <c r="I22" s="394">
        <f t="shared" si="6"/>
        <v>12615</v>
      </c>
      <c r="J22" s="393">
        <f>'Planilha Unitária'!H22</f>
        <v>1.39</v>
      </c>
      <c r="K22" s="393">
        <f t="shared" si="7"/>
        <v>1.69</v>
      </c>
      <c r="L22" s="393">
        <f t="shared" si="8"/>
        <v>21319.4</v>
      </c>
      <c r="M22" s="425">
        <f t="shared" si="9"/>
        <v>4.3691764534601581E-3</v>
      </c>
      <c r="N22" s="474">
        <f t="shared" si="2"/>
        <v>4.3691764534601581E-3</v>
      </c>
      <c r="O22" s="459" t="s">
        <v>363</v>
      </c>
    </row>
    <row r="23" spans="2:15" ht="30" customHeight="1">
      <c r="B23" s="419" t="str">
        <f>'Planilha Unitária'!B23</f>
        <v>2.3</v>
      </c>
      <c r="C23" s="390">
        <f>'Planilha Unitária'!C23</f>
        <v>5901639</v>
      </c>
      <c r="D23" s="390" t="str">
        <f>'Planilha Unitária'!D23</f>
        <v>SICRO</v>
      </c>
      <c r="E23" s="391" t="str">
        <f>'Planilha Unitária'!E23</f>
        <v>Transporte com caminhão basculante com caçamba estanque com capacidade de 14 m³ - rodovia em leito natural</v>
      </c>
      <c r="F23" s="389" t="str">
        <f>'Planilha Unitária'!F23</f>
        <v>txkm</v>
      </c>
      <c r="G23" s="396">
        <f>'Planilha Unitária'!G23</f>
        <v>14191.88</v>
      </c>
      <c r="H23" s="396">
        <f t="shared" ref="H23:H27" si="10">H22</f>
        <v>20</v>
      </c>
      <c r="I23" s="394">
        <f t="shared" si="6"/>
        <v>283837.59999999998</v>
      </c>
      <c r="J23" s="393">
        <f>'Planilha Unitária'!H23</f>
        <v>0.9</v>
      </c>
      <c r="K23" s="393">
        <f t="shared" si="7"/>
        <v>1.0900000000000001</v>
      </c>
      <c r="L23" s="393">
        <f t="shared" si="8"/>
        <v>309383</v>
      </c>
      <c r="M23" s="425">
        <f t="shared" si="9"/>
        <v>6.3404641720726851E-2</v>
      </c>
      <c r="N23" s="474">
        <f t="shared" si="2"/>
        <v>6.3404641720726851E-2</v>
      </c>
      <c r="O23" s="459" t="s">
        <v>363</v>
      </c>
    </row>
    <row r="24" spans="2:15">
      <c r="B24" s="419" t="str">
        <f>'Planilha Unitária'!B24</f>
        <v>2.4</v>
      </c>
      <c r="C24" s="390">
        <f>'Planilha Unitária'!C24</f>
        <v>4805754</v>
      </c>
      <c r="D24" s="390" t="str">
        <f>'Planilha Unitária'!D24</f>
        <v>SICRO</v>
      </c>
      <c r="E24" s="391" t="str">
        <f>'Planilha Unitária'!E24</f>
        <v>Compactação manual com soquete vibratório.</v>
      </c>
      <c r="F24" s="389" t="str">
        <f>'Planilha Unitária'!F24</f>
        <v>m³</v>
      </c>
      <c r="G24" s="396">
        <f>'Planilha Unitária'!G24</f>
        <v>126.75</v>
      </c>
      <c r="H24" s="396">
        <f t="shared" si="10"/>
        <v>20</v>
      </c>
      <c r="I24" s="394">
        <f t="shared" si="6"/>
        <v>2535</v>
      </c>
      <c r="J24" s="393">
        <f>'Planilha Unitária'!H24</f>
        <v>7.09</v>
      </c>
      <c r="K24" s="393">
        <f t="shared" si="7"/>
        <v>8.61</v>
      </c>
      <c r="L24" s="393">
        <f t="shared" si="8"/>
        <v>21826.399999999998</v>
      </c>
      <c r="M24" s="425">
        <f t="shared" si="9"/>
        <v>4.4730805249586182E-3</v>
      </c>
      <c r="N24" s="474">
        <f t="shared" si="2"/>
        <v>4.4730805249586182E-3</v>
      </c>
      <c r="O24" s="459" t="s">
        <v>363</v>
      </c>
    </row>
    <row r="25" spans="2:15">
      <c r="B25" s="419" t="str">
        <f>'Planilha Unitária'!B25</f>
        <v>2.5</v>
      </c>
      <c r="C25" s="390">
        <f>'Planilha Unitária'!C25</f>
        <v>4011209</v>
      </c>
      <c r="D25" s="390" t="str">
        <f>'Planilha Unitária'!D25</f>
        <v>SICRO</v>
      </c>
      <c r="E25" s="391" t="str">
        <f>'Planilha Unitária'!E25</f>
        <v>Regularização de subleito.</v>
      </c>
      <c r="F25" s="389" t="str">
        <f>'Planilha Unitária'!F25</f>
        <v>m²</v>
      </c>
      <c r="G25" s="396">
        <f>'Planilha Unitária'!G25</f>
        <v>840</v>
      </c>
      <c r="H25" s="396">
        <f t="shared" si="10"/>
        <v>20</v>
      </c>
      <c r="I25" s="394">
        <f t="shared" si="6"/>
        <v>16800</v>
      </c>
      <c r="J25" s="393">
        <f>'Planilha Unitária'!H25</f>
        <v>1.17</v>
      </c>
      <c r="K25" s="393">
        <f t="shared" si="7"/>
        <v>1.42</v>
      </c>
      <c r="L25" s="393">
        <f t="shared" si="8"/>
        <v>23856</v>
      </c>
      <c r="M25" s="425">
        <f t="shared" si="9"/>
        <v>4.889024713347726E-3</v>
      </c>
      <c r="N25" s="474">
        <f t="shared" si="2"/>
        <v>4.889024713347726E-3</v>
      </c>
      <c r="O25" s="459" t="s">
        <v>363</v>
      </c>
    </row>
    <row r="26" spans="2:15" ht="24.95" customHeight="1">
      <c r="B26" s="419" t="str">
        <f>'Planilha Unitária'!B26</f>
        <v>2.6</v>
      </c>
      <c r="C26" s="390">
        <f>'Planilha Unitária'!C26</f>
        <v>4011209</v>
      </c>
      <c r="D26" s="390" t="str">
        <f>'Planilha Unitária'!D26</f>
        <v>SICRO</v>
      </c>
      <c r="E26" s="391" t="str">
        <f>'Planilha Unitária'!E26</f>
        <v>Execução de revestimento primário com material de jazida.</v>
      </c>
      <c r="F26" s="389" t="str">
        <f>'Planilha Unitária'!F26</f>
        <v>m³</v>
      </c>
      <c r="G26" s="396">
        <f>'Planilha Unitária'!G26</f>
        <v>504</v>
      </c>
      <c r="H26" s="396">
        <f t="shared" si="10"/>
        <v>20</v>
      </c>
      <c r="I26" s="394">
        <f t="shared" si="6"/>
        <v>10080</v>
      </c>
      <c r="J26" s="393">
        <f>'Planilha Unitária'!H26</f>
        <v>11.38</v>
      </c>
      <c r="K26" s="393">
        <f t="shared" si="7"/>
        <v>13.83</v>
      </c>
      <c r="L26" s="393">
        <f t="shared" si="8"/>
        <v>139406.39999999999</v>
      </c>
      <c r="M26" s="425">
        <f t="shared" si="9"/>
        <v>2.8569807796731992E-2</v>
      </c>
      <c r="N26" s="474">
        <f t="shared" si="2"/>
        <v>2.8569807796731992E-2</v>
      </c>
      <c r="O26" s="459" t="s">
        <v>363</v>
      </c>
    </row>
    <row r="27" spans="2:15" ht="24.95" customHeight="1">
      <c r="B27" s="419" t="str">
        <f>'Planilha Unitária'!B27</f>
        <v>2.7</v>
      </c>
      <c r="C27" s="390" t="str">
        <f>'Planilha Unitária'!C27</f>
        <v>CPU - 03</v>
      </c>
      <c r="D27" s="390" t="str">
        <f>'Planilha Unitária'!D27</f>
        <v>CODEVASF</v>
      </c>
      <c r="E27" s="391" t="str">
        <f>'Planilha Unitária'!E27</f>
        <v>Ensaios geotécnicos.</v>
      </c>
      <c r="F27" s="389" t="str">
        <f>'Planilha Unitária'!F27</f>
        <v>und</v>
      </c>
      <c r="G27" s="396">
        <f>'Planilha Unitária'!G27</f>
        <v>2</v>
      </c>
      <c r="H27" s="396">
        <f t="shared" si="10"/>
        <v>20</v>
      </c>
      <c r="I27" s="394">
        <f t="shared" si="6"/>
        <v>40</v>
      </c>
      <c r="J27" s="393">
        <f>'Planilha Unitária'!H27</f>
        <v>1000</v>
      </c>
      <c r="K27" s="393">
        <f t="shared" si="7"/>
        <v>1215</v>
      </c>
      <c r="L27" s="393">
        <f t="shared" si="8"/>
        <v>48600</v>
      </c>
      <c r="M27" s="425">
        <f t="shared" si="9"/>
        <v>9.9600352560655393E-3</v>
      </c>
      <c r="N27" s="474">
        <f t="shared" si="2"/>
        <v>9.9600352560655393E-3</v>
      </c>
      <c r="O27" s="459" t="s">
        <v>363</v>
      </c>
    </row>
    <row r="28" spans="2:15" ht="21.95" customHeight="1">
      <c r="B28" s="460" t="s">
        <v>33</v>
      </c>
      <c r="C28" s="461"/>
      <c r="D28" s="461"/>
      <c r="E28" s="461"/>
      <c r="F28" s="461"/>
      <c r="G28" s="461"/>
      <c r="H28" s="461"/>
      <c r="I28" s="461"/>
      <c r="J28" s="461"/>
      <c r="K28" s="461"/>
      <c r="L28" s="426">
        <f>ROUND(SUM(L21:L27),2)</f>
        <v>570751.19999999995</v>
      </c>
      <c r="M28" s="427">
        <f t="shared" si="9"/>
        <v>0.11696917848645501</v>
      </c>
      <c r="N28" s="474"/>
    </row>
    <row r="29" spans="2:15" ht="20.100000000000001" customHeight="1">
      <c r="B29" s="418">
        <f>'Planilha Unitária'!B29</f>
        <v>3</v>
      </c>
      <c r="C29" s="465" t="str">
        <f>'Planilha Unitária'!C29</f>
        <v xml:space="preserve">EXECUÇÃO DA PASSAGEM MOLHADA </v>
      </c>
      <c r="D29" s="465"/>
      <c r="E29" s="465"/>
      <c r="F29" s="466"/>
      <c r="G29" s="466"/>
      <c r="H29" s="466"/>
      <c r="I29" s="466"/>
      <c r="J29" s="466"/>
      <c r="K29" s="466"/>
      <c r="L29" s="466"/>
      <c r="M29" s="424" t="s">
        <v>31</v>
      </c>
      <c r="N29" s="474"/>
    </row>
    <row r="30" spans="2:15" ht="39.75" customHeight="1">
      <c r="B30" s="419" t="str">
        <f>'Planilha Unitária'!B30</f>
        <v>3.1</v>
      </c>
      <c r="C30" s="390">
        <f>'Planilha Unitária'!C30</f>
        <v>5501706</v>
      </c>
      <c r="D30" s="390" t="str">
        <f>'Planilha Unitária'!D30</f>
        <v>SICRO</v>
      </c>
      <c r="E30" s="391" t="str">
        <f>'Planilha Unitária'!E30</f>
        <v>Escavação mecânica com retroescavadeira em material de 1ª categoria</v>
      </c>
      <c r="F30" s="389" t="str">
        <f>'Planilha Unitária'!F30</f>
        <v>m³</v>
      </c>
      <c r="G30" s="396">
        <f>'Planilha Unitária'!G30</f>
        <v>120</v>
      </c>
      <c r="H30" s="396">
        <f>H11</f>
        <v>20</v>
      </c>
      <c r="I30" s="394">
        <f t="shared" ref="I30:I47" si="11">ROUND(G30*H30,2)</f>
        <v>2400</v>
      </c>
      <c r="J30" s="393">
        <f>'Planilha Unitária'!H30</f>
        <v>6.9</v>
      </c>
      <c r="K30" s="393">
        <f t="shared" ref="K30:K47" si="12">ROUND((1+$J$7)*J30,2)</f>
        <v>8.3800000000000008</v>
      </c>
      <c r="L30" s="393">
        <f t="shared" ref="L30:L47" si="13">H30*(ROUND(G30*K30,2))</f>
        <v>20112</v>
      </c>
      <c r="M30" s="425">
        <f t="shared" ref="M30:M39" si="14">((L30/$L$49))</f>
        <v>4.1217331084360109E-3</v>
      </c>
      <c r="N30" s="474">
        <f t="shared" si="2"/>
        <v>4.1217331084360109E-3</v>
      </c>
      <c r="O30" s="459" t="s">
        <v>363</v>
      </c>
    </row>
    <row r="31" spans="2:15" ht="42.75" customHeight="1">
      <c r="B31" s="419" t="str">
        <f>'Planilha Unitária'!B31</f>
        <v>3.2</v>
      </c>
      <c r="C31" s="390">
        <f>'Planilha Unitária'!C31</f>
        <v>2003869</v>
      </c>
      <c r="D31" s="390" t="str">
        <f>'Planilha Unitária'!D31</f>
        <v>SICRO</v>
      </c>
      <c r="E31" s="391" t="str">
        <f>'Planilha Unitária'!E31</f>
        <v>Tubo de concreto PA1 comercial para drenagem - D = 0,50 m - fornecimento e instalação</v>
      </c>
      <c r="F31" s="389" t="str">
        <f>'Planilha Unitária'!F31</f>
        <v>m</v>
      </c>
      <c r="G31" s="396">
        <f>'Planilha Unitária'!G31</f>
        <v>24</v>
      </c>
      <c r="H31" s="396">
        <f>H30</f>
        <v>20</v>
      </c>
      <c r="I31" s="394">
        <f t="shared" si="11"/>
        <v>480</v>
      </c>
      <c r="J31" s="393">
        <f>'Planilha Unitária'!H31</f>
        <v>228.82</v>
      </c>
      <c r="K31" s="393">
        <f t="shared" si="12"/>
        <v>278.02</v>
      </c>
      <c r="L31" s="393">
        <f t="shared" si="13"/>
        <v>133449.59999999998</v>
      </c>
      <c r="M31" s="425">
        <f t="shared" si="14"/>
        <v>2.7349027179173736E-2</v>
      </c>
      <c r="N31" s="474">
        <f t="shared" si="2"/>
        <v>2.7349027179173736E-2</v>
      </c>
      <c r="O31" s="459" t="s">
        <v>571</v>
      </c>
    </row>
    <row r="32" spans="2:15" ht="39" customHeight="1">
      <c r="B32" s="419" t="str">
        <f>'Planilha Unitária'!B32</f>
        <v>3.3</v>
      </c>
      <c r="C32" s="390">
        <f>'Planilha Unitária'!C32</f>
        <v>1106057</v>
      </c>
      <c r="D32" s="390" t="str">
        <f>'Planilha Unitária'!D32</f>
        <v>SICRO</v>
      </c>
      <c r="E32" s="391" t="str">
        <f>'Planilha Unitária'!E32</f>
        <v>Concreto magro - confecção em betoneira e lançamento manual - areia e brita comerciais</v>
      </c>
      <c r="F32" s="389" t="str">
        <f>'Planilha Unitária'!F32</f>
        <v>m³</v>
      </c>
      <c r="G32" s="396">
        <f>'Planilha Unitária'!G32</f>
        <v>8.1999999999999993</v>
      </c>
      <c r="H32" s="396">
        <f t="shared" ref="H32:H44" si="15">H31</f>
        <v>20</v>
      </c>
      <c r="I32" s="394">
        <f t="shared" si="11"/>
        <v>164</v>
      </c>
      <c r="J32" s="393">
        <f>'Planilha Unitária'!H32</f>
        <v>460.57</v>
      </c>
      <c r="K32" s="393">
        <f t="shared" si="12"/>
        <v>559.59</v>
      </c>
      <c r="L32" s="393">
        <f t="shared" si="13"/>
        <v>91772.800000000003</v>
      </c>
      <c r="M32" s="425">
        <f t="shared" si="14"/>
        <v>1.8807825587404351E-2</v>
      </c>
      <c r="N32" s="474">
        <f t="shared" si="2"/>
        <v>1.8807825587404351E-2</v>
      </c>
      <c r="O32" s="459" t="s">
        <v>571</v>
      </c>
    </row>
    <row r="33" spans="2:15" ht="41.25" customHeight="1">
      <c r="B33" s="419" t="str">
        <f>'Planilha Unitária'!B33</f>
        <v>3.4</v>
      </c>
      <c r="C33" s="390">
        <f>'Planilha Unitária'!C33</f>
        <v>3739</v>
      </c>
      <c r="D33" s="390" t="str">
        <f>'Planilha Unitária'!D33</f>
        <v>ORSE</v>
      </c>
      <c r="E33" s="391" t="str">
        <f>'Planilha Unitária'!E33</f>
        <v>Forma plana para estruturas, em compensado plastificado de 12mm, 12 usos, inclusive escoramento</v>
      </c>
      <c r="F33" s="389" t="str">
        <f>'Planilha Unitária'!F33</f>
        <v>m²</v>
      </c>
      <c r="G33" s="396">
        <f>'Planilha Unitária'!G33</f>
        <v>224</v>
      </c>
      <c r="H33" s="396">
        <f t="shared" si="15"/>
        <v>20</v>
      </c>
      <c r="I33" s="394">
        <f t="shared" si="11"/>
        <v>4480</v>
      </c>
      <c r="J33" s="393">
        <f>'Planilha Unitária'!H33</f>
        <v>40.56</v>
      </c>
      <c r="K33" s="393">
        <f t="shared" si="12"/>
        <v>49.28</v>
      </c>
      <c r="L33" s="393">
        <f t="shared" si="13"/>
        <v>220774.39999999999</v>
      </c>
      <c r="M33" s="425">
        <f t="shared" si="14"/>
        <v>4.5245284107751353E-2</v>
      </c>
      <c r="N33" s="474">
        <f t="shared" si="2"/>
        <v>4.5245284107751353E-2</v>
      </c>
      <c r="O33" s="459" t="s">
        <v>571</v>
      </c>
    </row>
    <row r="34" spans="2:15" ht="44.25" customHeight="1">
      <c r="B34" s="419" t="str">
        <f>'Planilha Unitária'!B34</f>
        <v>3.5</v>
      </c>
      <c r="C34" s="390">
        <f>'Planilha Unitária'!C34</f>
        <v>1506055</v>
      </c>
      <c r="D34" s="390" t="str">
        <f>'Planilha Unitária'!D34</f>
        <v>SICRO</v>
      </c>
      <c r="E34" s="391" t="str">
        <f>'Planilha Unitária'!E34</f>
        <v>Pedra argamassada com cimento e areia 1:3 - areia e pedra de mão comercial - fornecimento e assentamento</v>
      </c>
      <c r="F34" s="389" t="str">
        <f>'Planilha Unitária'!F34</f>
        <v>m³</v>
      </c>
      <c r="G34" s="396">
        <f>'Planilha Unitária'!G34</f>
        <v>132</v>
      </c>
      <c r="H34" s="396">
        <f t="shared" si="15"/>
        <v>20</v>
      </c>
      <c r="I34" s="394">
        <f t="shared" si="11"/>
        <v>2640</v>
      </c>
      <c r="J34" s="393">
        <f>'Planilha Unitária'!H34</f>
        <v>455.63</v>
      </c>
      <c r="K34" s="393">
        <f t="shared" si="12"/>
        <v>553.59</v>
      </c>
      <c r="L34" s="393">
        <f t="shared" si="13"/>
        <v>1461477.6</v>
      </c>
      <c r="M34" s="425">
        <f t="shared" si="14"/>
        <v>0.29951375353806686</v>
      </c>
      <c r="N34" s="474">
        <f t="shared" si="2"/>
        <v>0.29951375353806686</v>
      </c>
      <c r="O34" s="459" t="s">
        <v>571</v>
      </c>
    </row>
    <row r="35" spans="2:15" ht="33.75" customHeight="1">
      <c r="B35" s="419" t="str">
        <f>'Planilha Unitária'!B35</f>
        <v>3.6</v>
      </c>
      <c r="C35" s="390">
        <f>'Planilha Unitária'!C35</f>
        <v>47819</v>
      </c>
      <c r="D35" s="390" t="str">
        <f>'Planilha Unitária'!D35</f>
        <v>SICRO</v>
      </c>
      <c r="E35" s="391" t="str">
        <f>'Planilha Unitária'!E35</f>
        <v>Armação em aço CA-50 - fornecimento, preparo e colocação.</v>
      </c>
      <c r="F35" s="389" t="str">
        <f>'Planilha Unitária'!F35</f>
        <v>kg</v>
      </c>
      <c r="G35" s="396">
        <f>'Planilha Unitária'!G35</f>
        <v>2173.1999999999998</v>
      </c>
      <c r="H35" s="396">
        <f t="shared" si="15"/>
        <v>20</v>
      </c>
      <c r="I35" s="394">
        <f t="shared" si="11"/>
        <v>43464</v>
      </c>
      <c r="J35" s="393">
        <f>'Planilha Unitária'!H35</f>
        <v>12.09</v>
      </c>
      <c r="K35" s="393">
        <f t="shared" si="12"/>
        <v>14.69</v>
      </c>
      <c r="L35" s="393">
        <f t="shared" si="13"/>
        <v>638486.20000000007</v>
      </c>
      <c r="M35" s="425">
        <f t="shared" si="14"/>
        <v>0.13085072145085008</v>
      </c>
      <c r="N35" s="474">
        <f t="shared" si="2"/>
        <v>0.13085072145085008</v>
      </c>
      <c r="O35" s="459" t="s">
        <v>571</v>
      </c>
    </row>
    <row r="36" spans="2:15" ht="31.5" customHeight="1">
      <c r="B36" s="419" t="str">
        <f>'Planilha Unitária'!B36</f>
        <v>3.7</v>
      </c>
      <c r="C36" s="390">
        <f>'Planilha Unitária'!C36</f>
        <v>1107892</v>
      </c>
      <c r="D36" s="390" t="str">
        <f>'Planilha Unitária'!D36</f>
        <v>SICRO</v>
      </c>
      <c r="E36" s="391" t="str">
        <f>'Planilha Unitária'!E36</f>
        <v>Concreto fck = 20 MPa - confecção em betoneira e lançamento manual - areia e brita comerciais.</v>
      </c>
      <c r="F36" s="389" t="str">
        <f>'Planilha Unitária'!F36</f>
        <v>m³</v>
      </c>
      <c r="G36" s="396">
        <f>'Planilha Unitária'!G36</f>
        <v>36</v>
      </c>
      <c r="H36" s="396">
        <f t="shared" si="15"/>
        <v>20</v>
      </c>
      <c r="I36" s="394">
        <f t="shared" si="11"/>
        <v>720</v>
      </c>
      <c r="J36" s="393">
        <f>'Planilha Unitária'!H36</f>
        <v>473.84</v>
      </c>
      <c r="K36" s="393">
        <f t="shared" si="12"/>
        <v>575.72</v>
      </c>
      <c r="L36" s="393">
        <f t="shared" si="13"/>
        <v>414518.39999999997</v>
      </c>
      <c r="M36" s="425">
        <f t="shared" si="14"/>
        <v>8.4950985149956318E-2</v>
      </c>
      <c r="N36" s="474">
        <f t="shared" si="2"/>
        <v>8.4950985149956318E-2</v>
      </c>
      <c r="O36" s="459" t="s">
        <v>571</v>
      </c>
    </row>
    <row r="37" spans="2:15" ht="40.5" customHeight="1">
      <c r="B37" s="419" t="str">
        <f>'Planilha Unitária'!B37</f>
        <v>3.8</v>
      </c>
      <c r="C37" s="390">
        <f>'Planilha Unitária'!C37</f>
        <v>4815671</v>
      </c>
      <c r="D37" s="390" t="str">
        <f>'Planilha Unitária'!D37</f>
        <v>SICRO</v>
      </c>
      <c r="E37" s="391" t="str">
        <f>'Planilha Unitária'!E37</f>
        <v>Reaterro e compactação com soquete vibratório</v>
      </c>
      <c r="F37" s="389" t="str">
        <f>'Planilha Unitária'!F37</f>
        <v>m³</v>
      </c>
      <c r="G37" s="396">
        <f>'Planilha Unitária'!G37</f>
        <v>70</v>
      </c>
      <c r="H37" s="396">
        <f t="shared" si="15"/>
        <v>20</v>
      </c>
      <c r="I37" s="394">
        <f t="shared" si="11"/>
        <v>1400</v>
      </c>
      <c r="J37" s="393">
        <f>'Planilha Unitária'!H37</f>
        <v>16.73</v>
      </c>
      <c r="K37" s="393">
        <f t="shared" si="12"/>
        <v>20.329999999999998</v>
      </c>
      <c r="L37" s="393">
        <f t="shared" si="13"/>
        <v>28462</v>
      </c>
      <c r="M37" s="425">
        <f t="shared" si="14"/>
        <v>5.8329737337065304E-3</v>
      </c>
      <c r="N37" s="474">
        <f t="shared" si="2"/>
        <v>5.8329737337065304E-3</v>
      </c>
      <c r="O37" s="459" t="s">
        <v>363</v>
      </c>
    </row>
    <row r="38" spans="2:15" ht="30" customHeight="1">
      <c r="B38" s="419" t="s">
        <v>34</v>
      </c>
      <c r="C38" s="390">
        <f>'Planilha Unitária'!C38</f>
        <v>4815671</v>
      </c>
      <c r="D38" s="390" t="str">
        <f>'Planilha Unitária'!D38</f>
        <v>SICRO</v>
      </c>
      <c r="E38" s="391" t="str">
        <f>'Planilha Unitária'!E38</f>
        <v>Tratamento de junta serrada, com tarugo de polietileno e selante à base de silicone</v>
      </c>
      <c r="F38" s="389" t="str">
        <f>'Planilha Unitária'!F38</f>
        <v>m</v>
      </c>
      <c r="G38" s="396">
        <f>'Planilha Unitária'!G38</f>
        <v>42</v>
      </c>
      <c r="H38" s="396">
        <f t="shared" si="15"/>
        <v>20</v>
      </c>
      <c r="I38" s="394">
        <f t="shared" si="11"/>
        <v>840</v>
      </c>
      <c r="J38" s="393">
        <f>'Planilha Unitária'!H38</f>
        <v>53.13</v>
      </c>
      <c r="K38" s="393">
        <f t="shared" si="12"/>
        <v>64.55</v>
      </c>
      <c r="L38" s="393">
        <f t="shared" si="13"/>
        <v>54222</v>
      </c>
      <c r="M38" s="425">
        <f t="shared" si="14"/>
        <v>1.1112202297415342E-2</v>
      </c>
      <c r="N38" s="474">
        <f t="shared" si="2"/>
        <v>1.1112202297415342E-2</v>
      </c>
      <c r="O38" s="459" t="s">
        <v>571</v>
      </c>
    </row>
    <row r="39" spans="2:15" ht="30" customHeight="1">
      <c r="B39" s="460" t="s">
        <v>35</v>
      </c>
      <c r="C39" s="461"/>
      <c r="D39" s="461"/>
      <c r="E39" s="461"/>
      <c r="F39" s="461"/>
      <c r="G39" s="461"/>
      <c r="H39" s="461"/>
      <c r="I39" s="461"/>
      <c r="J39" s="461"/>
      <c r="K39" s="461"/>
      <c r="L39" s="426">
        <f>ROUND(SUM(L30:L38),2)</f>
        <v>3063275</v>
      </c>
      <c r="M39" s="427">
        <f t="shared" si="14"/>
        <v>0.6277845061527606</v>
      </c>
      <c r="N39" s="474"/>
    </row>
    <row r="40" spans="2:15" ht="30" customHeight="1">
      <c r="B40" s="418">
        <f>'Planilha Unitária'!B40</f>
        <v>4</v>
      </c>
      <c r="C40" s="465" t="str">
        <f>'Planilha Unitária'!C40</f>
        <v>DRENAGEM E SINALIZAÇÃO</v>
      </c>
      <c r="D40" s="465"/>
      <c r="E40" s="465"/>
      <c r="F40" s="466"/>
      <c r="G40" s="466"/>
      <c r="H40" s="466"/>
      <c r="I40" s="466"/>
      <c r="J40" s="466"/>
      <c r="K40" s="466"/>
      <c r="L40" s="466"/>
      <c r="M40" s="424" t="s">
        <v>31</v>
      </c>
      <c r="N40" s="474"/>
    </row>
    <row r="41" spans="2:15" ht="24.95" customHeight="1">
      <c r="B41" s="419" t="s">
        <v>36</v>
      </c>
      <c r="C41" s="390" t="str">
        <f>'Planilha Unitária'!C41</f>
        <v>CPU-04</v>
      </c>
      <c r="D41" s="390" t="str">
        <f>'Planilha Unitária'!D41</f>
        <v>CODEVASF</v>
      </c>
      <c r="E41" s="391" t="str">
        <f>'Planilha Unitária'!E41</f>
        <v>Meio-fio de concreto - MFC 04 - areia e brita comerciais - fôrma de madeira</v>
      </c>
      <c r="F41" s="389" t="str">
        <f>'Planilha Unitária'!F41</f>
        <v>m</v>
      </c>
      <c r="G41" s="396">
        <f>'Planilha Unitária'!G41</f>
        <v>42</v>
      </c>
      <c r="H41" s="396">
        <f>H38</f>
        <v>20</v>
      </c>
      <c r="I41" s="394">
        <f t="shared" si="11"/>
        <v>840</v>
      </c>
      <c r="J41" s="393">
        <f>'Planilha Unitária'!I41</f>
        <v>98.69</v>
      </c>
      <c r="K41" s="393">
        <f t="shared" si="12"/>
        <v>119.91</v>
      </c>
      <c r="L41" s="393">
        <f t="shared" si="13"/>
        <v>100724.40000000001</v>
      </c>
      <c r="M41" s="425">
        <f>((L41/$L$49))</f>
        <v>2.0642357513293165E-2</v>
      </c>
      <c r="N41" s="474">
        <f t="shared" si="2"/>
        <v>2.0642357513293165E-2</v>
      </c>
      <c r="O41" s="459" t="s">
        <v>571</v>
      </c>
    </row>
    <row r="42" spans="2:15" ht="43.5" customHeight="1">
      <c r="B42" s="419" t="s">
        <v>37</v>
      </c>
      <c r="C42" s="390">
        <f>'Planilha Unitária'!C42</f>
        <v>102498</v>
      </c>
      <c r="D42" s="390" t="str">
        <f>'Planilha Unitária'!D42</f>
        <v>SINAPI</v>
      </c>
      <c r="E42" s="391" t="str">
        <f>'Planilha Unitária'!E42</f>
        <v>Pintura de meio-fio com tinta branca a base de cal (caiação).</v>
      </c>
      <c r="F42" s="389" t="str">
        <f>'Planilha Unitária'!F42</f>
        <v>m²</v>
      </c>
      <c r="G42" s="396">
        <f>'Planilha Unitária'!G42</f>
        <v>35.28</v>
      </c>
      <c r="H42" s="396">
        <f t="shared" si="15"/>
        <v>20</v>
      </c>
      <c r="I42" s="394">
        <f t="shared" si="11"/>
        <v>705.6</v>
      </c>
      <c r="J42" s="393">
        <f>'Planilha Unitária'!I42</f>
        <v>2.2799999999999998</v>
      </c>
      <c r="K42" s="393">
        <f t="shared" si="12"/>
        <v>2.77</v>
      </c>
      <c r="L42" s="393">
        <f t="shared" si="13"/>
        <v>1954.6000000000001</v>
      </c>
      <c r="M42" s="425">
        <f>((L42/$L$49))</f>
        <v>4.0057376361122849E-4</v>
      </c>
      <c r="N42" s="474">
        <f t="shared" si="2"/>
        <v>4.0057376361122849E-4</v>
      </c>
      <c r="O42" s="459" t="s">
        <v>571</v>
      </c>
    </row>
    <row r="43" spans="2:15" ht="25.5">
      <c r="B43" s="419" t="s">
        <v>38</v>
      </c>
      <c r="C43" s="390">
        <f>'Planilha Unitária'!C43</f>
        <v>5213863</v>
      </c>
      <c r="D43" s="390" t="str">
        <f>'Planilha Unitária'!D43</f>
        <v>SICRO</v>
      </c>
      <c r="E43" s="391" t="str">
        <f>'Planilha Unitária'!E43</f>
        <v>Suporte metálico galvanizado para placa de advertência ou regulamentação - lado ou diâmetro de 0,60 m - fornecimento e implantação</v>
      </c>
      <c r="F43" s="389" t="str">
        <f>'Planilha Unitária'!F43</f>
        <v>und</v>
      </c>
      <c r="G43" s="396">
        <f>'Planilha Unitária'!G43</f>
        <v>2</v>
      </c>
      <c r="H43" s="396">
        <f t="shared" si="15"/>
        <v>20</v>
      </c>
      <c r="I43" s="394">
        <f t="shared" si="11"/>
        <v>40</v>
      </c>
      <c r="J43" s="393">
        <f>'Planilha Unitária'!I43</f>
        <v>557.82000000000005</v>
      </c>
      <c r="K43" s="393">
        <f t="shared" si="12"/>
        <v>677.75</v>
      </c>
      <c r="L43" s="393">
        <f t="shared" si="13"/>
        <v>27110</v>
      </c>
      <c r="M43" s="425">
        <f>((L43/$L$49))</f>
        <v>5.5558962097106328E-3</v>
      </c>
      <c r="N43" s="474">
        <f t="shared" si="2"/>
        <v>5.5558962097106328E-3</v>
      </c>
      <c r="O43" s="459" t="s">
        <v>571</v>
      </c>
    </row>
    <row r="44" spans="2:15" ht="24.95" customHeight="1">
      <c r="B44" s="419" t="s">
        <v>39</v>
      </c>
      <c r="C44" s="390">
        <f>'Planilha Unitária'!C44</f>
        <v>5213414</v>
      </c>
      <c r="D44" s="390" t="str">
        <f>'Planilha Unitária'!D44</f>
        <v>SICRO</v>
      </c>
      <c r="E44" s="391" t="str">
        <f>'Planilha Unitária'!E44</f>
        <v>Placa de regulamentação em aço D = 0,60 m - película retrorrefletiva tipo I + SI - fornecimento e implantação</v>
      </c>
      <c r="F44" s="389" t="str">
        <f>'Planilha Unitária'!F44</f>
        <v>und</v>
      </c>
      <c r="G44" s="396">
        <f>'Planilha Unitária'!G44</f>
        <v>2</v>
      </c>
      <c r="H44" s="396">
        <f t="shared" si="15"/>
        <v>20</v>
      </c>
      <c r="I44" s="394">
        <f t="shared" si="11"/>
        <v>40</v>
      </c>
      <c r="J44" s="393">
        <f>'Planilha Unitária'!I44</f>
        <v>301.48</v>
      </c>
      <c r="K44" s="393">
        <f t="shared" si="12"/>
        <v>366.3</v>
      </c>
      <c r="L44" s="393">
        <f t="shared" si="13"/>
        <v>14652</v>
      </c>
      <c r="M44" s="425">
        <f>((L44/$L$49))</f>
        <v>3.0027661846064252E-3</v>
      </c>
      <c r="N44" s="474">
        <f t="shared" si="2"/>
        <v>3.0027661846064252E-3</v>
      </c>
      <c r="O44" s="459" t="s">
        <v>571</v>
      </c>
    </row>
    <row r="45" spans="2:15" ht="24.95" customHeight="1">
      <c r="B45" s="460" t="s">
        <v>40</v>
      </c>
      <c r="C45" s="461"/>
      <c r="D45" s="461"/>
      <c r="E45" s="461"/>
      <c r="F45" s="461"/>
      <c r="G45" s="461"/>
      <c r="H45" s="461"/>
      <c r="I45" s="461"/>
      <c r="J45" s="461"/>
      <c r="K45" s="461"/>
      <c r="L45" s="426">
        <f>ROUND(SUM(L41:L44),2)</f>
        <v>144441</v>
      </c>
      <c r="M45" s="427">
        <f>((L45/$L$49))</f>
        <v>2.9601593671221452E-2</v>
      </c>
      <c r="N45" s="474"/>
    </row>
    <row r="46" spans="2:15" ht="24.95" customHeight="1">
      <c r="B46" s="418">
        <f>'Planilha Unitária'!B46</f>
        <v>5</v>
      </c>
      <c r="C46" s="465" t="str">
        <f>'Planilha Unitária'!C46</f>
        <v>PROJETO EXECUTIVO</v>
      </c>
      <c r="D46" s="465"/>
      <c r="E46" s="465"/>
      <c r="F46" s="466"/>
      <c r="G46" s="466"/>
      <c r="H46" s="466"/>
      <c r="I46" s="466"/>
      <c r="J46" s="466"/>
      <c r="K46" s="466"/>
      <c r="L46" s="466"/>
      <c r="M46" s="424" t="s">
        <v>31</v>
      </c>
      <c r="N46" s="474"/>
    </row>
    <row r="47" spans="2:15" ht="24.95" customHeight="1">
      <c r="B47" s="419" t="str">
        <f>'Planilha Unitária'!B47</f>
        <v>5.1</v>
      </c>
      <c r="C47" s="390" t="str">
        <f>'Planilha Unitária'!C47</f>
        <v>CPU - 05</v>
      </c>
      <c r="D47" s="390" t="str">
        <f>'Planilha Unitária'!D47</f>
        <v>CODEVASF</v>
      </c>
      <c r="E47" s="391" t="str">
        <f>'Planilha Unitária'!E47</f>
        <v>Elaboração de Projeto Executivo</v>
      </c>
      <c r="F47" s="389" t="str">
        <f>'Planilha Unitária'!F47</f>
        <v>m²</v>
      </c>
      <c r="G47" s="396">
        <f>'Planilha Unitária'!G47</f>
        <v>240</v>
      </c>
      <c r="H47" s="396">
        <f>H44</f>
        <v>20</v>
      </c>
      <c r="I47" s="394">
        <f t="shared" si="11"/>
        <v>4800</v>
      </c>
      <c r="J47" s="393">
        <f>'Planilha Unitária'!H47</f>
        <v>17.43</v>
      </c>
      <c r="K47" s="393">
        <f t="shared" si="12"/>
        <v>21.18</v>
      </c>
      <c r="L47" s="393">
        <f t="shared" si="13"/>
        <v>101664</v>
      </c>
      <c r="M47" s="425">
        <f>((L47/$L$49))</f>
        <v>2.0834918194910432E-2</v>
      </c>
      <c r="N47" s="474">
        <f t="shared" si="2"/>
        <v>2.0834918194910432E-2</v>
      </c>
      <c r="O47" s="459" t="s">
        <v>571</v>
      </c>
    </row>
    <row r="48" spans="2:15" ht="21.95" customHeight="1">
      <c r="B48" s="460" t="s">
        <v>41</v>
      </c>
      <c r="C48" s="461"/>
      <c r="D48" s="461"/>
      <c r="E48" s="461"/>
      <c r="F48" s="461"/>
      <c r="G48" s="461"/>
      <c r="H48" s="461"/>
      <c r="I48" s="461"/>
      <c r="J48" s="461"/>
      <c r="K48" s="461"/>
      <c r="L48" s="426">
        <f>L47</f>
        <v>101664</v>
      </c>
      <c r="M48" s="427">
        <f>((L48/$L$49))</f>
        <v>2.0834918194910432E-2</v>
      </c>
      <c r="N48" s="474"/>
    </row>
    <row r="49" spans="2:14" ht="32.450000000000003" customHeight="1">
      <c r="B49" s="462"/>
      <c r="C49" s="463"/>
      <c r="D49" s="463"/>
      <c r="E49" s="463"/>
      <c r="F49" s="464" t="s">
        <v>42</v>
      </c>
      <c r="G49" s="464"/>
      <c r="H49" s="464"/>
      <c r="I49" s="464"/>
      <c r="J49" s="464"/>
      <c r="K49" s="464"/>
      <c r="L49" s="428">
        <f>L19+L28+L39+L45+L48</f>
        <v>4879500.8</v>
      </c>
      <c r="M49" s="429">
        <f>((L49/$L$49))</f>
        <v>1</v>
      </c>
      <c r="N49" s="474"/>
    </row>
    <row r="51" spans="2:14">
      <c r="H51" s="494" t="s">
        <v>43</v>
      </c>
      <c r="I51" s="495"/>
      <c r="J51" s="495"/>
      <c r="K51" s="495"/>
      <c r="L51" s="430">
        <f>I25+I47</f>
        <v>21600</v>
      </c>
    </row>
    <row r="52" spans="2:14">
      <c r="H52" s="496" t="s">
        <v>44</v>
      </c>
      <c r="I52" s="497"/>
      <c r="J52" s="497"/>
      <c r="K52" s="497"/>
      <c r="L52" s="431">
        <f>ROUND(L49/L51,2)</f>
        <v>225.9</v>
      </c>
    </row>
  </sheetData>
  <mergeCells count="12">
    <mergeCell ref="B2:J2"/>
    <mergeCell ref="B3:J3"/>
    <mergeCell ref="B4:J4"/>
    <mergeCell ref="B5:J5"/>
    <mergeCell ref="B6:M6"/>
    <mergeCell ref="K2:M5"/>
    <mergeCell ref="H51:K51"/>
    <mergeCell ref="H52:K52"/>
    <mergeCell ref="B7:E7"/>
    <mergeCell ref="F7:G7"/>
    <mergeCell ref="K7:L7"/>
    <mergeCell ref="B8:M8"/>
  </mergeCells>
  <conditionalFormatting sqref="B10">
    <cfRule type="expression" dxfId="22" priority="79" stopIfTrue="1">
      <formula>RIGHT(B10,2)="00"</formula>
    </cfRule>
  </conditionalFormatting>
  <conditionalFormatting sqref="J11:L18">
    <cfRule type="expression" dxfId="21" priority="76" stopIfTrue="1">
      <formula>OR(RIGHT($B11,2)="00",LEFT($E11,5)="Total")</formula>
    </cfRule>
  </conditionalFormatting>
  <conditionalFormatting sqref="J21:L27">
    <cfRule type="expression" dxfId="20" priority="6" stopIfTrue="1">
      <formula>OR(RIGHT($B21,2)="00",LEFT($E21,5)="Total")</formula>
    </cfRule>
  </conditionalFormatting>
  <conditionalFormatting sqref="L39">
    <cfRule type="expression" dxfId="19" priority="2" stopIfTrue="1">
      <formula>OR(RIGHT(#REF!,2)="00",LEFT($E39,5)="Total")</formula>
    </cfRule>
  </conditionalFormatting>
  <conditionalFormatting sqref="L45">
    <cfRule type="expression" dxfId="18" priority="1" stopIfTrue="1">
      <formula>OR(RIGHT(#REF!,2)="00",LEFT($E45,5)="Total")</formula>
    </cfRule>
  </conditionalFormatting>
  <conditionalFormatting sqref="L48:L49">
    <cfRule type="expression" dxfId="17" priority="83" stopIfTrue="1">
      <formula>OR(RIGHT(#REF!,2)="00",LEFT($E48,5)="Total")</formula>
    </cfRule>
  </conditionalFormatting>
  <conditionalFormatting sqref="L49">
    <cfRule type="expression" dxfId="16" priority="85" stopIfTrue="1">
      <formula>OR(RIGHT($B49,2)="00",LEFT($E49,5)="Total")</formula>
    </cfRule>
  </conditionalFormatting>
  <pageMargins left="0.39370078740157499" right="0.39370078740157499" top="0.39370078740157499" bottom="0.39370078740157499" header="0.31496062992126" footer="0.31496062992126"/>
  <pageSetup paperSize="9" scale="7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4506668294322"/>
    <pageSetUpPr fitToPage="1"/>
  </sheetPr>
  <dimension ref="B2:O52"/>
  <sheetViews>
    <sheetView view="pageBreakPreview" topLeftCell="A20" zoomScaleNormal="85" workbookViewId="0">
      <selection activeCell="C30" sqref="C30"/>
    </sheetView>
  </sheetViews>
  <sheetFormatPr defaultColWidth="9.140625" defaultRowHeight="12.75"/>
  <cols>
    <col min="1" max="1" width="3" style="89" customWidth="1"/>
    <col min="2" max="2" width="6.5703125" style="89" customWidth="1"/>
    <col min="3" max="4" width="13.5703125" style="89" customWidth="1"/>
    <col min="5" max="5" width="67.7109375" style="89" customWidth="1"/>
    <col min="6" max="6" width="7" style="89" customWidth="1"/>
    <col min="7" max="8" width="13.85546875" style="91" customWidth="1"/>
    <col min="9" max="9" width="15.140625" style="91" customWidth="1"/>
    <col min="10" max="10" width="25" style="381" customWidth="1"/>
    <col min="11" max="11" width="11.140625" style="315" customWidth="1"/>
    <col min="12" max="12" width="3.7109375" style="89" customWidth="1"/>
    <col min="13" max="13" width="66.140625" style="89" customWidth="1"/>
    <col min="14" max="14" width="6.42578125" style="89" customWidth="1"/>
    <col min="15" max="15" width="15.85546875" style="89" customWidth="1"/>
    <col min="16" max="16384" width="9.140625" style="89"/>
  </cols>
  <sheetData>
    <row r="2" spans="2:15" s="92" customFormat="1" ht="15.95" customHeight="1">
      <c r="B2" s="504" t="s">
        <v>10</v>
      </c>
      <c r="C2" s="505"/>
      <c r="D2" s="505"/>
      <c r="E2" s="505"/>
      <c r="F2" s="505"/>
      <c r="G2" s="505"/>
      <c r="H2" s="505"/>
      <c r="I2" s="513" t="s">
        <v>11</v>
      </c>
      <c r="J2" s="514"/>
      <c r="K2" s="515"/>
    </row>
    <row r="3" spans="2:15" s="92" customFormat="1" ht="15.95" customHeight="1">
      <c r="B3" s="506" t="s">
        <v>12</v>
      </c>
      <c r="C3" s="507"/>
      <c r="D3" s="507"/>
      <c r="E3" s="507"/>
      <c r="F3" s="507"/>
      <c r="G3" s="507"/>
      <c r="H3" s="507"/>
      <c r="I3" s="516"/>
      <c r="J3" s="517"/>
      <c r="K3" s="518"/>
    </row>
    <row r="4" spans="2:15" s="92" customFormat="1" ht="15.95" customHeight="1">
      <c r="B4" s="506" t="s">
        <v>13</v>
      </c>
      <c r="C4" s="507"/>
      <c r="D4" s="507"/>
      <c r="E4" s="507"/>
      <c r="F4" s="507"/>
      <c r="G4" s="507"/>
      <c r="H4" s="507"/>
      <c r="I4" s="516"/>
      <c r="J4" s="517"/>
      <c r="K4" s="518"/>
    </row>
    <row r="5" spans="2:15" ht="15.95" customHeight="1">
      <c r="B5" s="508" t="s">
        <v>14</v>
      </c>
      <c r="C5" s="509"/>
      <c r="D5" s="509"/>
      <c r="E5" s="509"/>
      <c r="F5" s="509"/>
      <c r="G5" s="509"/>
      <c r="H5" s="509"/>
      <c r="I5" s="519"/>
      <c r="J5" s="520"/>
      <c r="K5" s="521"/>
    </row>
    <row r="6" spans="2:15" ht="38.25" customHeight="1">
      <c r="B6" s="539" t="s">
        <v>15</v>
      </c>
      <c r="C6" s="540"/>
      <c r="D6" s="540"/>
      <c r="E6" s="540"/>
      <c r="F6" s="540"/>
      <c r="G6" s="540"/>
      <c r="H6" s="540"/>
      <c r="I6" s="540"/>
      <c r="J6" s="540"/>
      <c r="K6" s="541"/>
    </row>
    <row r="7" spans="2:15" ht="30.95" customHeight="1">
      <c r="B7" s="534" t="s">
        <v>45</v>
      </c>
      <c r="C7" s="534"/>
      <c r="D7" s="534"/>
      <c r="E7" s="534"/>
      <c r="F7" s="535" t="s">
        <v>17</v>
      </c>
      <c r="G7" s="535"/>
      <c r="H7" s="382">
        <f>ROUND(BDI!D36,4)</f>
        <v>0.215</v>
      </c>
      <c r="I7" s="535" t="s">
        <v>18</v>
      </c>
      <c r="J7" s="535"/>
      <c r="K7" s="398">
        <v>1.1664000000000001</v>
      </c>
    </row>
    <row r="8" spans="2:15" ht="21.95" customHeight="1">
      <c r="B8" s="536" t="s">
        <v>46</v>
      </c>
      <c r="C8" s="537"/>
      <c r="D8" s="537"/>
      <c r="E8" s="537"/>
      <c r="F8" s="537"/>
      <c r="G8" s="537"/>
      <c r="H8" s="537"/>
      <c r="I8" s="537"/>
      <c r="J8" s="537"/>
      <c r="K8" s="538"/>
      <c r="M8" s="315"/>
      <c r="N8" s="399"/>
    </row>
    <row r="9" spans="2:15" ht="51.6" customHeight="1">
      <c r="B9" s="383" t="s">
        <v>20</v>
      </c>
      <c r="C9" s="384" t="s">
        <v>21</v>
      </c>
      <c r="D9" s="384" t="s">
        <v>22</v>
      </c>
      <c r="E9" s="385" t="s">
        <v>23</v>
      </c>
      <c r="F9" s="383" t="s">
        <v>24</v>
      </c>
      <c r="G9" s="386" t="s">
        <v>47</v>
      </c>
      <c r="H9" s="387" t="s">
        <v>28</v>
      </c>
      <c r="I9" s="400" t="s">
        <v>29</v>
      </c>
      <c r="J9" s="387" t="s">
        <v>48</v>
      </c>
      <c r="K9" s="383" t="s">
        <v>31</v>
      </c>
      <c r="M9" s="401" t="s">
        <v>49</v>
      </c>
      <c r="O9" s="402"/>
    </row>
    <row r="10" spans="2:15" ht="20.100000000000001" customHeight="1">
      <c r="B10" s="388">
        <v>1</v>
      </c>
      <c r="C10" s="529" t="s">
        <v>50</v>
      </c>
      <c r="D10" s="529"/>
      <c r="E10" s="529"/>
      <c r="F10" s="530"/>
      <c r="G10" s="530"/>
      <c r="H10" s="530"/>
      <c r="I10" s="530"/>
      <c r="J10" s="530"/>
      <c r="K10" s="388" t="s">
        <v>31</v>
      </c>
      <c r="M10" s="315"/>
      <c r="N10" s="399"/>
    </row>
    <row r="11" spans="2:15" ht="28.5" customHeight="1">
      <c r="B11" s="389" t="s">
        <v>51</v>
      </c>
      <c r="C11" s="390" t="str">
        <f>'CPU CODEVASF E SINAPI'!B13</f>
        <v>CPU-01</v>
      </c>
      <c r="D11" s="390" t="s">
        <v>52</v>
      </c>
      <c r="E11" s="391" t="s">
        <v>53</v>
      </c>
      <c r="F11" s="389" t="str">
        <f>'CPU CODEVASF E SINAPI'!F13</f>
        <v>%</v>
      </c>
      <c r="G11" s="392">
        <v>1</v>
      </c>
      <c r="H11" s="393">
        <v>20259.2</v>
      </c>
      <c r="I11" s="393">
        <v>24614.93</v>
      </c>
      <c r="J11" s="393">
        <f t="shared" ref="J11:J18" si="0">ROUND(I11*G11,2)</f>
        <v>24614.93</v>
      </c>
      <c r="K11" s="392">
        <f t="shared" ref="K11:K19" si="1">((J11/$J$49))</f>
        <v>4.3076322851124102E-2</v>
      </c>
      <c r="M11" s="403" t="s">
        <v>54</v>
      </c>
    </row>
    <row r="12" spans="2:15" ht="33" customHeight="1">
      <c r="B12" s="389" t="s">
        <v>55</v>
      </c>
      <c r="C12" s="390">
        <v>5914640</v>
      </c>
      <c r="D12" s="390" t="s">
        <v>56</v>
      </c>
      <c r="E12" s="391" t="s">
        <v>57</v>
      </c>
      <c r="F12" s="389" t="s">
        <v>58</v>
      </c>
      <c r="G12" s="394">
        <f>Mobilização!G33</f>
        <v>1469.85</v>
      </c>
      <c r="H12" s="393">
        <f>'COMPOSIÇÕES SICRO'!I316</f>
        <v>0.57999999999999996</v>
      </c>
      <c r="I12" s="393">
        <f t="shared" ref="I12:I18" si="2">ROUND((1+$H$7)*H12,2)</f>
        <v>0.7</v>
      </c>
      <c r="J12" s="393">
        <f t="shared" si="0"/>
        <v>1028.9000000000001</v>
      </c>
      <c r="K12" s="392">
        <f t="shared" si="1"/>
        <v>1.80058316564466E-3</v>
      </c>
      <c r="M12" s="403" t="s">
        <v>59</v>
      </c>
    </row>
    <row r="13" spans="2:15" ht="36" customHeight="1">
      <c r="B13" s="389" t="s">
        <v>60</v>
      </c>
      <c r="C13" s="390">
        <v>5914639</v>
      </c>
      <c r="D13" s="390" t="s">
        <v>56</v>
      </c>
      <c r="E13" s="391" t="s">
        <v>61</v>
      </c>
      <c r="F13" s="389" t="s">
        <v>58</v>
      </c>
      <c r="G13" s="394">
        <f>Mobilização!G35</f>
        <v>2939.7</v>
      </c>
      <c r="H13" s="393">
        <f>'COMPOSIÇÕES SICRO'!I290</f>
        <v>0.69</v>
      </c>
      <c r="I13" s="393">
        <f t="shared" si="2"/>
        <v>0.84</v>
      </c>
      <c r="J13" s="393">
        <f t="shared" si="0"/>
        <v>2469.35</v>
      </c>
      <c r="K13" s="392">
        <f t="shared" si="1"/>
        <v>4.3213820974678102E-3</v>
      </c>
      <c r="M13" s="403" t="s">
        <v>62</v>
      </c>
    </row>
    <row r="14" spans="2:15" ht="28.5" customHeight="1">
      <c r="B14" s="389" t="s">
        <v>63</v>
      </c>
      <c r="C14" s="390">
        <v>5914640</v>
      </c>
      <c r="D14" s="390" t="s">
        <v>56</v>
      </c>
      <c r="E14" s="391" t="s">
        <v>64</v>
      </c>
      <c r="F14" s="389" t="s">
        <v>58</v>
      </c>
      <c r="G14" s="394">
        <f>G12</f>
        <v>1469.85</v>
      </c>
      <c r="H14" s="393">
        <f>'COMPOSIÇÕES SICRO'!I316</f>
        <v>0.57999999999999996</v>
      </c>
      <c r="I14" s="393">
        <f t="shared" si="2"/>
        <v>0.7</v>
      </c>
      <c r="J14" s="393">
        <f t="shared" si="0"/>
        <v>1028.9000000000001</v>
      </c>
      <c r="K14" s="392">
        <f t="shared" si="1"/>
        <v>1.80058316564466E-3</v>
      </c>
      <c r="M14" s="403" t="s">
        <v>59</v>
      </c>
    </row>
    <row r="15" spans="2:15" ht="33.75" customHeight="1">
      <c r="B15" s="389" t="s">
        <v>65</v>
      </c>
      <c r="C15" s="390">
        <v>5914639</v>
      </c>
      <c r="D15" s="390" t="s">
        <v>56</v>
      </c>
      <c r="E15" s="391" t="s">
        <v>66</v>
      </c>
      <c r="F15" s="389" t="s">
        <v>58</v>
      </c>
      <c r="G15" s="394">
        <f>G13</f>
        <v>2939.7</v>
      </c>
      <c r="H15" s="393">
        <f>'COMPOSIÇÕES SICRO'!I290</f>
        <v>0.69</v>
      </c>
      <c r="I15" s="393">
        <f t="shared" si="2"/>
        <v>0.84</v>
      </c>
      <c r="J15" s="393">
        <f t="shared" si="0"/>
        <v>2469.35</v>
      </c>
      <c r="K15" s="392">
        <f t="shared" si="1"/>
        <v>4.3213820974678102E-3</v>
      </c>
      <c r="M15" s="403" t="s">
        <v>62</v>
      </c>
    </row>
    <row r="16" spans="2:15" ht="24.95" customHeight="1">
      <c r="B16" s="389" t="s">
        <v>67</v>
      </c>
      <c r="C16" s="390" t="str">
        <f>'CPU CODEVASF E SINAPI'!B17</f>
        <v>CPU-02</v>
      </c>
      <c r="D16" s="390" t="s">
        <v>52</v>
      </c>
      <c r="E16" s="391" t="s">
        <v>68</v>
      </c>
      <c r="F16" s="389" t="s">
        <v>69</v>
      </c>
      <c r="G16" s="395">
        <f>ROUND((1.6*3.2),2)</f>
        <v>5.12</v>
      </c>
      <c r="H16" s="393">
        <f>'CPU CODEVASF E SINAPI'!I28</f>
        <v>504.81</v>
      </c>
      <c r="I16" s="393">
        <f t="shared" si="2"/>
        <v>613.34</v>
      </c>
      <c r="J16" s="393">
        <f t="shared" si="0"/>
        <v>3140.3</v>
      </c>
      <c r="K16" s="392">
        <f t="shared" si="1"/>
        <v>5.4955499223188998E-3</v>
      </c>
      <c r="M16" s="403" t="s">
        <v>70</v>
      </c>
    </row>
    <row r="17" spans="2:13" ht="30" customHeight="1">
      <c r="B17" s="389" t="s">
        <v>71</v>
      </c>
      <c r="C17" s="390">
        <v>5088</v>
      </c>
      <c r="D17" s="390" t="s">
        <v>72</v>
      </c>
      <c r="E17" s="391" t="s">
        <v>73</v>
      </c>
      <c r="F17" s="389" t="s">
        <v>69</v>
      </c>
      <c r="G17" s="394">
        <f>ROUND((4*3),2)</f>
        <v>12</v>
      </c>
      <c r="H17" s="393">
        <f>'Preços Insumos e Serviços'!F60</f>
        <v>242.33</v>
      </c>
      <c r="I17" s="393">
        <f t="shared" si="2"/>
        <v>294.43</v>
      </c>
      <c r="J17" s="393">
        <f t="shared" si="0"/>
        <v>3533.16</v>
      </c>
      <c r="K17" s="392">
        <f t="shared" si="1"/>
        <v>6.1830580401682099E-3</v>
      </c>
      <c r="M17" s="403" t="s">
        <v>74</v>
      </c>
    </row>
    <row r="18" spans="2:13" ht="30.75" customHeight="1">
      <c r="B18" s="389" t="s">
        <v>75</v>
      </c>
      <c r="C18" s="390">
        <v>99059</v>
      </c>
      <c r="D18" s="390" t="s">
        <v>76</v>
      </c>
      <c r="E18" s="391" t="s">
        <v>77</v>
      </c>
      <c r="F18" s="389" t="s">
        <v>78</v>
      </c>
      <c r="G18" s="394">
        <f>45+45+11+11</f>
        <v>112</v>
      </c>
      <c r="H18" s="393">
        <f>'Preços Insumos e Serviços'!F46</f>
        <v>68.39</v>
      </c>
      <c r="I18" s="393">
        <f t="shared" si="2"/>
        <v>83.09</v>
      </c>
      <c r="J18" s="393">
        <f t="shared" si="0"/>
        <v>9306.08</v>
      </c>
      <c r="K18" s="392">
        <f t="shared" si="1"/>
        <v>1.62857138557123E-2</v>
      </c>
      <c r="M18" s="403" t="s">
        <v>79</v>
      </c>
    </row>
    <row r="19" spans="2:13" ht="21.95" customHeight="1">
      <c r="B19" s="527"/>
      <c r="C19" s="527"/>
      <c r="D19" s="527"/>
      <c r="E19" s="527"/>
      <c r="F19" s="528" t="s">
        <v>32</v>
      </c>
      <c r="G19" s="528"/>
      <c r="H19" s="528"/>
      <c r="I19" s="528"/>
      <c r="J19" s="404">
        <f>ROUND(SUM(J11:J18),4)</f>
        <v>47590.97</v>
      </c>
      <c r="K19" s="392">
        <f t="shared" si="1"/>
        <v>8.3284575195548494E-2</v>
      </c>
      <c r="M19" s="405"/>
    </row>
    <row r="20" spans="2:13" s="380" customFormat="1" ht="20.100000000000001" customHeight="1">
      <c r="B20" s="388">
        <v>2</v>
      </c>
      <c r="C20" s="529" t="s">
        <v>80</v>
      </c>
      <c r="D20" s="529"/>
      <c r="E20" s="529"/>
      <c r="F20" s="530"/>
      <c r="G20" s="530"/>
      <c r="H20" s="530"/>
      <c r="I20" s="530"/>
      <c r="J20" s="530"/>
      <c r="K20" s="388" t="s">
        <v>31</v>
      </c>
      <c r="M20" s="406"/>
    </row>
    <row r="21" spans="2:13" ht="25.5">
      <c r="B21" s="389" t="s">
        <v>81</v>
      </c>
      <c r="C21" s="390">
        <v>5502985</v>
      </c>
      <c r="D21" s="390" t="s">
        <v>56</v>
      </c>
      <c r="E21" s="391" t="s">
        <v>82</v>
      </c>
      <c r="F21" s="389" t="s">
        <v>69</v>
      </c>
      <c r="G21" s="396">
        <f>ROUND(100*6,2)</f>
        <v>600</v>
      </c>
      <c r="H21" s="393">
        <f>'COMPOSIÇÕES SICRO'!I94</f>
        <v>0.44</v>
      </c>
      <c r="I21" s="393">
        <f t="shared" ref="I21:I27" si="3">ROUND((1+$H$7)*H21,2)</f>
        <v>0.53</v>
      </c>
      <c r="J21" s="393">
        <f t="shared" ref="J21:J27" si="4">ROUND(I21*G21,2)</f>
        <v>318</v>
      </c>
      <c r="K21" s="392">
        <f t="shared" ref="K21:K28" si="5">((J21/$J$49))</f>
        <v>5.5650252373894496E-4</v>
      </c>
      <c r="M21" s="403" t="s">
        <v>83</v>
      </c>
    </row>
    <row r="22" spans="2:13" ht="30" customHeight="1">
      <c r="B22" s="389" t="s">
        <v>84</v>
      </c>
      <c r="C22" s="390">
        <v>4016096</v>
      </c>
      <c r="D22" s="390" t="s">
        <v>56</v>
      </c>
      <c r="E22" s="391" t="s">
        <v>85</v>
      </c>
      <c r="F22" s="389" t="s">
        <v>86</v>
      </c>
      <c r="G22" s="396">
        <f>ROUND((G24+G26),2)</f>
        <v>630.75</v>
      </c>
      <c r="H22" s="393">
        <f>'COMPOSIÇÕES SICRO'!I211</f>
        <v>1.39</v>
      </c>
      <c r="I22" s="393">
        <f t="shared" si="3"/>
        <v>1.69</v>
      </c>
      <c r="J22" s="393">
        <f t="shared" si="4"/>
        <v>1065.97</v>
      </c>
      <c r="K22" s="392">
        <f t="shared" si="5"/>
        <v>1.8654559598427799E-3</v>
      </c>
      <c r="M22" s="403" t="s">
        <v>87</v>
      </c>
    </row>
    <row r="23" spans="2:13" ht="30" customHeight="1">
      <c r="B23" s="389" t="s">
        <v>88</v>
      </c>
      <c r="C23" s="390">
        <v>5901639</v>
      </c>
      <c r="D23" s="390" t="s">
        <v>56</v>
      </c>
      <c r="E23" s="391" t="s">
        <v>89</v>
      </c>
      <c r="F23" s="389" t="s">
        <v>58</v>
      </c>
      <c r="G23" s="396">
        <f>ROUND(((G24+G26)*(15)*1.5),2)</f>
        <v>14191.88</v>
      </c>
      <c r="H23" s="393">
        <f>'COMPOSIÇÕES SICRO'!I264</f>
        <v>0.9</v>
      </c>
      <c r="I23" s="393">
        <f t="shared" si="3"/>
        <v>1.0900000000000001</v>
      </c>
      <c r="J23" s="393">
        <f t="shared" si="4"/>
        <v>15469.15</v>
      </c>
      <c r="K23" s="392">
        <f t="shared" si="5"/>
        <v>2.7071135267598401E-2</v>
      </c>
      <c r="M23" s="403" t="s">
        <v>90</v>
      </c>
    </row>
    <row r="24" spans="2:13">
      <c r="B24" s="389" t="s">
        <v>91</v>
      </c>
      <c r="C24" s="390">
        <v>4805754</v>
      </c>
      <c r="D24" s="390" t="s">
        <v>56</v>
      </c>
      <c r="E24" s="391" t="s">
        <v>92</v>
      </c>
      <c r="F24" s="389" t="s">
        <v>86</v>
      </c>
      <c r="G24" s="396">
        <f>ROUND(((13*5*0.65)*3),2)</f>
        <v>126.75</v>
      </c>
      <c r="H24" s="393">
        <f>'COMPOSIÇÕES SICRO'!I149</f>
        <v>7.09</v>
      </c>
      <c r="I24" s="393">
        <f t="shared" si="3"/>
        <v>8.61</v>
      </c>
      <c r="J24" s="393">
        <f t="shared" si="4"/>
        <v>1091.32</v>
      </c>
      <c r="K24" s="392">
        <f t="shared" si="5"/>
        <v>1.90981866102763E-3</v>
      </c>
      <c r="M24" s="403" t="s">
        <v>93</v>
      </c>
    </row>
    <row r="25" spans="2:13">
      <c r="B25" s="389" t="s">
        <v>94</v>
      </c>
      <c r="C25" s="390">
        <v>4011209</v>
      </c>
      <c r="D25" s="390" t="s">
        <v>56</v>
      </c>
      <c r="E25" s="391" t="s">
        <v>95</v>
      </c>
      <c r="F25" s="389" t="s">
        <v>69</v>
      </c>
      <c r="G25" s="396">
        <f>ROUND(((70+70)*6),2)</f>
        <v>840</v>
      </c>
      <c r="H25" s="393">
        <f>'COMPOSIÇÕES SICRO'!I348</f>
        <v>1.17</v>
      </c>
      <c r="I25" s="393">
        <f t="shared" si="3"/>
        <v>1.42</v>
      </c>
      <c r="J25" s="393">
        <f t="shared" si="4"/>
        <v>1192.8</v>
      </c>
      <c r="K25" s="392">
        <f t="shared" si="5"/>
        <v>2.0874094664019298E-3</v>
      </c>
      <c r="M25" s="403" t="s">
        <v>96</v>
      </c>
    </row>
    <row r="26" spans="2:13">
      <c r="B26" s="389" t="s">
        <v>97</v>
      </c>
      <c r="C26" s="390">
        <v>4011209</v>
      </c>
      <c r="D26" s="390" t="s">
        <v>56</v>
      </c>
      <c r="E26" s="391" t="s">
        <v>98</v>
      </c>
      <c r="F26" s="389" t="s">
        <v>86</v>
      </c>
      <c r="G26" s="396">
        <f>ROUND(140*6*0.6,2)</f>
        <v>504</v>
      </c>
      <c r="H26" s="393">
        <f>'COMPOSIÇÕES SICRO'!I184</f>
        <v>11.38</v>
      </c>
      <c r="I26" s="393">
        <f t="shared" si="3"/>
        <v>13.83</v>
      </c>
      <c r="J26" s="393">
        <f t="shared" si="4"/>
        <v>6970.32</v>
      </c>
      <c r="K26" s="392">
        <f t="shared" si="5"/>
        <v>1.2198115318453001E-2</v>
      </c>
      <c r="M26" s="403" t="s">
        <v>99</v>
      </c>
    </row>
    <row r="27" spans="2:13" ht="25.5">
      <c r="B27" s="389" t="s">
        <v>100</v>
      </c>
      <c r="C27" s="390" t="str">
        <f>'CPU ENSAIOS-ORSE'!G5</f>
        <v>CPU - 03</v>
      </c>
      <c r="D27" s="390" t="s">
        <v>52</v>
      </c>
      <c r="E27" s="391" t="s">
        <v>101</v>
      </c>
      <c r="F27" s="389" t="s">
        <v>102</v>
      </c>
      <c r="G27" s="396">
        <v>2</v>
      </c>
      <c r="H27" s="393">
        <f>'CPU ENSAIOS-ORSE'!G14</f>
        <v>1000</v>
      </c>
      <c r="I27" s="393">
        <f t="shared" si="3"/>
        <v>1215</v>
      </c>
      <c r="J27" s="393">
        <f t="shared" si="4"/>
        <v>2430</v>
      </c>
      <c r="K27" s="392">
        <f t="shared" si="5"/>
        <v>4.2525192851749598E-3</v>
      </c>
      <c r="M27" s="403" t="s">
        <v>103</v>
      </c>
    </row>
    <row r="28" spans="2:13" ht="21.95" customHeight="1">
      <c r="B28" s="527"/>
      <c r="C28" s="527"/>
      <c r="D28" s="527"/>
      <c r="E28" s="527"/>
      <c r="F28" s="528" t="s">
        <v>33</v>
      </c>
      <c r="G28" s="528"/>
      <c r="H28" s="528"/>
      <c r="I28" s="528"/>
      <c r="J28" s="404">
        <f>ROUND(SUM(J21:J27),4)</f>
        <v>28537.56</v>
      </c>
      <c r="K28" s="392">
        <f t="shared" si="5"/>
        <v>4.9940956482237703E-2</v>
      </c>
      <c r="M28" s="407"/>
    </row>
    <row r="29" spans="2:13" ht="20.100000000000001" customHeight="1">
      <c r="B29" s="388">
        <v>3</v>
      </c>
      <c r="C29" s="529" t="s">
        <v>104</v>
      </c>
      <c r="D29" s="529"/>
      <c r="E29" s="529"/>
      <c r="F29" s="530"/>
      <c r="G29" s="530"/>
      <c r="H29" s="530"/>
      <c r="I29" s="530"/>
      <c r="J29" s="530"/>
      <c r="K29" s="388" t="s">
        <v>31</v>
      </c>
      <c r="M29" s="407"/>
    </row>
    <row r="30" spans="2:13" ht="25.5">
      <c r="B30" s="389" t="s">
        <v>105</v>
      </c>
      <c r="C30" s="397">
        <v>5501706</v>
      </c>
      <c r="D30" s="397" t="s">
        <v>56</v>
      </c>
      <c r="E30" s="391" t="s">
        <v>106</v>
      </c>
      <c r="F30" s="389" t="s">
        <v>86</v>
      </c>
      <c r="G30" s="396">
        <f>ROUND(((1*1.3*40*2)+(1*0.5*5*4)+(1*0.5*3*4)),2)</f>
        <v>120</v>
      </c>
      <c r="H30" s="393">
        <f>'COMPOSIÇÕES SICRO'!I238</f>
        <v>6.9</v>
      </c>
      <c r="I30" s="393">
        <f t="shared" ref="I30:I38" si="6">ROUND((1+$H$7)*H30,2)</f>
        <v>8.3800000000000008</v>
      </c>
      <c r="J30" s="393">
        <f t="shared" ref="J30:J47" si="7">ROUND(I30*G30,2)</f>
        <v>1005.6</v>
      </c>
      <c r="K30" s="392">
        <f t="shared" ref="K30:K39" si="8">((J30/$J$49))</f>
        <v>1.7598079807291901E-3</v>
      </c>
      <c r="M30" s="403" t="s">
        <v>107</v>
      </c>
    </row>
    <row r="31" spans="2:13" ht="25.5">
      <c r="B31" s="389" t="s">
        <v>108</v>
      </c>
      <c r="C31" s="397">
        <v>2003869</v>
      </c>
      <c r="D31" s="397" t="s">
        <v>56</v>
      </c>
      <c r="E31" s="391" t="s">
        <v>109</v>
      </c>
      <c r="F31" s="389" t="s">
        <v>78</v>
      </c>
      <c r="G31" s="396">
        <f>ROUND((6*4),2)</f>
        <v>24</v>
      </c>
      <c r="H31" s="393">
        <f>'COMPOSIÇÕES SICRO'!I67</f>
        <v>228.82</v>
      </c>
      <c r="I31" s="393">
        <f t="shared" si="6"/>
        <v>278.02</v>
      </c>
      <c r="J31" s="393">
        <f t="shared" si="7"/>
        <v>6672.48</v>
      </c>
      <c r="K31" s="392">
        <f t="shared" si="8"/>
        <v>1.16768929547095E-2</v>
      </c>
      <c r="M31" s="403" t="s">
        <v>110</v>
      </c>
    </row>
    <row r="32" spans="2:13" ht="25.5">
      <c r="B32" s="389" t="s">
        <v>111</v>
      </c>
      <c r="C32" s="397">
        <v>1106057</v>
      </c>
      <c r="D32" s="397" t="s">
        <v>56</v>
      </c>
      <c r="E32" s="391" t="s">
        <v>112</v>
      </c>
      <c r="F32" s="389" t="s">
        <v>86</v>
      </c>
      <c r="G32" s="396">
        <f>ROUND(((40*1.25*2*0.05)+(5*0.5*4*0.05)+(3*0.5*4*0.05)+(0.5*6*0.2*4)),2)</f>
        <v>8.1999999999999993</v>
      </c>
      <c r="H32" s="393">
        <f>'Preços Insumos e Serviços'!F14</f>
        <v>460.57</v>
      </c>
      <c r="I32" s="393">
        <f t="shared" si="6"/>
        <v>559.59</v>
      </c>
      <c r="J32" s="393">
        <f t="shared" si="7"/>
        <v>4588.6400000000003</v>
      </c>
      <c r="K32" s="392">
        <f t="shared" si="8"/>
        <v>8.0301564167593494E-3</v>
      </c>
      <c r="M32" s="403" t="s">
        <v>113</v>
      </c>
    </row>
    <row r="33" spans="2:13" ht="25.5">
      <c r="B33" s="389" t="s">
        <v>114</v>
      </c>
      <c r="C33" s="397">
        <v>3739</v>
      </c>
      <c r="D33" s="397" t="s">
        <v>72</v>
      </c>
      <c r="E33" s="391" t="s">
        <v>115</v>
      </c>
      <c r="F33" s="389" t="s">
        <v>69</v>
      </c>
      <c r="G33" s="396">
        <f>ROUND(((40*1*2*2)+(5*1*2*4)+(3*1*2*4)),2)</f>
        <v>224</v>
      </c>
      <c r="H33" s="393">
        <f>'Preços Insumos e Serviços'!F67</f>
        <v>40.56</v>
      </c>
      <c r="I33" s="393">
        <f t="shared" si="6"/>
        <v>49.28</v>
      </c>
      <c r="J33" s="393">
        <f t="shared" si="7"/>
        <v>11038.72</v>
      </c>
      <c r="K33" s="392">
        <f t="shared" si="8"/>
        <v>1.9317847606438902E-2</v>
      </c>
      <c r="M33" s="403" t="s">
        <v>116</v>
      </c>
    </row>
    <row r="34" spans="2:13" ht="25.5">
      <c r="B34" s="389" t="s">
        <v>117</v>
      </c>
      <c r="C34" s="397">
        <v>1506055</v>
      </c>
      <c r="D34" s="397" t="s">
        <v>56</v>
      </c>
      <c r="E34" s="391" t="s">
        <v>118</v>
      </c>
      <c r="F34" s="389" t="s">
        <v>86</v>
      </c>
      <c r="G34" s="396">
        <f>ROUND(((40*(1.32)*2)+(5*(0.75)*4)+(3*(0.75)*4)+(6*0.5*0.2*4)),2)</f>
        <v>132</v>
      </c>
      <c r="H34" s="393">
        <f>'COMPOSIÇÕES SICRO'!I36</f>
        <v>455.63</v>
      </c>
      <c r="I34" s="393">
        <f t="shared" si="6"/>
        <v>553.59</v>
      </c>
      <c r="J34" s="393">
        <f t="shared" si="7"/>
        <v>73073.88</v>
      </c>
      <c r="K34" s="392">
        <f t="shared" si="8"/>
        <v>0.12787986993521</v>
      </c>
      <c r="M34" s="403" t="s">
        <v>119</v>
      </c>
    </row>
    <row r="35" spans="2:13" ht="25.5">
      <c r="B35" s="389" t="s">
        <v>120</v>
      </c>
      <c r="C35" s="397">
        <v>47819</v>
      </c>
      <c r="D35" s="397" t="s">
        <v>56</v>
      </c>
      <c r="E35" s="391" t="s">
        <v>121</v>
      </c>
      <c r="F35" s="389" t="s">
        <v>122</v>
      </c>
      <c r="G35" s="396">
        <f>ROUND(((267*1.1*6*0.617)+(40*1.1*40*0.617)),2)</f>
        <v>2173.1999999999998</v>
      </c>
      <c r="H35" s="393">
        <f>'Preços Insumos e Serviços'!F5</f>
        <v>12.09</v>
      </c>
      <c r="I35" s="393">
        <f t="shared" si="6"/>
        <v>14.69</v>
      </c>
      <c r="J35" s="393">
        <f t="shared" si="7"/>
        <v>31924.31</v>
      </c>
      <c r="K35" s="392">
        <f t="shared" si="8"/>
        <v>5.5867795860454199E-2</v>
      </c>
      <c r="M35" s="403" t="s">
        <v>123</v>
      </c>
    </row>
    <row r="36" spans="2:13" ht="31.5" customHeight="1">
      <c r="B36" s="389" t="s">
        <v>124</v>
      </c>
      <c r="C36" s="397">
        <v>1107892</v>
      </c>
      <c r="D36" s="397" t="s">
        <v>56</v>
      </c>
      <c r="E36" s="391" t="s">
        <v>125</v>
      </c>
      <c r="F36" s="389" t="s">
        <v>86</v>
      </c>
      <c r="G36" s="396">
        <f>ROUND((40*6*0.15),2)</f>
        <v>36</v>
      </c>
      <c r="H36" s="393">
        <f>'Preços Insumos e Serviços'!F13</f>
        <v>473.84</v>
      </c>
      <c r="I36" s="393">
        <f t="shared" si="6"/>
        <v>575.72</v>
      </c>
      <c r="J36" s="393">
        <f t="shared" si="7"/>
        <v>20725.919999999998</v>
      </c>
      <c r="K36" s="392">
        <f t="shared" si="8"/>
        <v>3.62705244868285E-2</v>
      </c>
      <c r="M36" s="403" t="s">
        <v>126</v>
      </c>
    </row>
    <row r="37" spans="2:13">
      <c r="B37" s="389" t="s">
        <v>127</v>
      </c>
      <c r="C37" s="397">
        <v>4815671</v>
      </c>
      <c r="D37" s="397" t="s">
        <v>56</v>
      </c>
      <c r="E37" s="391" t="s">
        <v>128</v>
      </c>
      <c r="F37" s="389" t="s">
        <v>86</v>
      </c>
      <c r="G37" s="396">
        <f>ROUND(((0.5+0.2)*40*2*1.25),2)</f>
        <v>70</v>
      </c>
      <c r="H37" s="393">
        <f>'COMPOSIÇÕES SICRO'!I122</f>
        <v>16.73</v>
      </c>
      <c r="I37" s="393">
        <f t="shared" si="6"/>
        <v>20.329999999999998</v>
      </c>
      <c r="J37" s="393">
        <f t="shared" si="7"/>
        <v>1423.1</v>
      </c>
      <c r="K37" s="392">
        <f t="shared" si="8"/>
        <v>2.4904362941285899E-3</v>
      </c>
      <c r="M37" s="403" t="s">
        <v>129</v>
      </c>
    </row>
    <row r="38" spans="2:13" ht="25.5">
      <c r="B38" s="389" t="s">
        <v>34</v>
      </c>
      <c r="C38" s="397">
        <v>4815671</v>
      </c>
      <c r="D38" s="397" t="s">
        <v>56</v>
      </c>
      <c r="E38" s="391" t="s">
        <v>130</v>
      </c>
      <c r="F38" s="389" t="s">
        <v>78</v>
      </c>
      <c r="G38" s="396">
        <f>ROUND(7*6,2)</f>
        <v>42</v>
      </c>
      <c r="H38" s="393">
        <f>'CPU CODEVASF E SINAPI'!I40</f>
        <v>53.13</v>
      </c>
      <c r="I38" s="393">
        <f t="shared" si="6"/>
        <v>64.55</v>
      </c>
      <c r="J38" s="393">
        <f t="shared" si="7"/>
        <v>2711.1</v>
      </c>
      <c r="K38" s="392">
        <f t="shared" si="8"/>
        <v>4.7444465160649497E-3</v>
      </c>
      <c r="M38" s="403" t="s">
        <v>131</v>
      </c>
    </row>
    <row r="39" spans="2:13" ht="14.25">
      <c r="B39" s="527"/>
      <c r="C39" s="527"/>
      <c r="D39" s="527"/>
      <c r="E39" s="527"/>
      <c r="F39" s="528" t="s">
        <v>35</v>
      </c>
      <c r="G39" s="528"/>
      <c r="H39" s="528"/>
      <c r="I39" s="528"/>
      <c r="J39" s="404">
        <f>ROUND(SUM(J30:J37),4)</f>
        <v>150452.65</v>
      </c>
      <c r="K39" s="392">
        <f t="shared" si="8"/>
        <v>0.26329333153525902</v>
      </c>
      <c r="M39" s="407"/>
    </row>
    <row r="40" spans="2:13" ht="15.75">
      <c r="B40" s="388">
        <v>4</v>
      </c>
      <c r="C40" s="529" t="s">
        <v>132</v>
      </c>
      <c r="D40" s="529"/>
      <c r="E40" s="529"/>
      <c r="F40" s="530"/>
      <c r="G40" s="530"/>
      <c r="H40" s="530"/>
      <c r="I40" s="530"/>
      <c r="J40" s="530"/>
      <c r="K40" s="388" t="s">
        <v>31</v>
      </c>
      <c r="M40" s="407"/>
    </row>
    <row r="41" spans="2:13" ht="30" customHeight="1">
      <c r="B41" s="389" t="s">
        <v>36</v>
      </c>
      <c r="C41" s="390" t="s">
        <v>133</v>
      </c>
      <c r="D41" s="390" t="s">
        <v>52</v>
      </c>
      <c r="E41" s="391" t="s">
        <v>134</v>
      </c>
      <c r="F41" s="389" t="s">
        <v>78</v>
      </c>
      <c r="G41" s="396">
        <f>ROUND(21*2,2)</f>
        <v>42</v>
      </c>
      <c r="H41" s="393">
        <f>'CPU CODEVASF E SINAPI'!I32</f>
        <v>81.23</v>
      </c>
      <c r="I41" s="393">
        <f t="shared" ref="I41:I47" si="9">ROUND((1+$H$7)*H41,2)</f>
        <v>98.69</v>
      </c>
      <c r="J41" s="393">
        <f t="shared" si="7"/>
        <v>4144.9799999999996</v>
      </c>
      <c r="K41" s="392">
        <f>((J41/$J$49))</f>
        <v>7.2537478957467099E-3</v>
      </c>
      <c r="M41" s="403" t="s">
        <v>135</v>
      </c>
    </row>
    <row r="42" spans="2:13" ht="24.95" customHeight="1">
      <c r="B42" s="389" t="s">
        <v>37</v>
      </c>
      <c r="C42" s="390">
        <v>102498</v>
      </c>
      <c r="D42" s="390" t="s">
        <v>76</v>
      </c>
      <c r="E42" s="391" t="s">
        <v>136</v>
      </c>
      <c r="F42" s="389" t="s">
        <v>69</v>
      </c>
      <c r="G42" s="396">
        <f>ROUND(((1.15*0.3*2*42)+(0.15*1*42)),2)</f>
        <v>35.28</v>
      </c>
      <c r="H42" s="393">
        <f>'Preços Insumos e Serviços'!F49</f>
        <v>1.88</v>
      </c>
      <c r="I42" s="393">
        <f t="shared" si="9"/>
        <v>2.2799999999999998</v>
      </c>
      <c r="J42" s="393">
        <f t="shared" si="7"/>
        <v>80.44</v>
      </c>
      <c r="K42" s="392">
        <f>((J42/$J$49))</f>
        <v>1.4077063839484501E-4</v>
      </c>
      <c r="M42" s="403" t="s">
        <v>137</v>
      </c>
    </row>
    <row r="43" spans="2:13" ht="25.5">
      <c r="B43" s="389" t="s">
        <v>38</v>
      </c>
      <c r="C43" s="390">
        <v>5213863</v>
      </c>
      <c r="D43" s="390" t="s">
        <v>56</v>
      </c>
      <c r="E43" s="391" t="s">
        <v>138</v>
      </c>
      <c r="F43" s="389" t="s">
        <v>102</v>
      </c>
      <c r="G43" s="396">
        <v>2</v>
      </c>
      <c r="H43" s="393">
        <f>'Preços Insumos e Serviços'!F30</f>
        <v>459.11</v>
      </c>
      <c r="I43" s="393">
        <f t="shared" si="9"/>
        <v>557.82000000000005</v>
      </c>
      <c r="J43" s="393">
        <f t="shared" si="7"/>
        <v>1115.6400000000001</v>
      </c>
      <c r="K43" s="392">
        <f>((J43/$J$49))</f>
        <v>1.9523788540381001E-3</v>
      </c>
      <c r="M43" s="403" t="s">
        <v>139</v>
      </c>
    </row>
    <row r="44" spans="2:13" ht="25.5">
      <c r="B44" s="389" t="s">
        <v>39</v>
      </c>
      <c r="C44" s="390">
        <v>5213414</v>
      </c>
      <c r="D44" s="390" t="s">
        <v>56</v>
      </c>
      <c r="E44" s="391" t="s">
        <v>140</v>
      </c>
      <c r="F44" s="389" t="s">
        <v>102</v>
      </c>
      <c r="G44" s="396">
        <v>2</v>
      </c>
      <c r="H44" s="393">
        <f>'Preços Insumos e Serviços'!F25</f>
        <v>248.13</v>
      </c>
      <c r="I44" s="393">
        <f t="shared" si="9"/>
        <v>301.48</v>
      </c>
      <c r="J44" s="393">
        <f t="shared" si="7"/>
        <v>602.96</v>
      </c>
      <c r="K44" s="392">
        <f>((J44/$J$49))</f>
        <v>1.0551847852630001E-3</v>
      </c>
      <c r="M44" s="403" t="s">
        <v>141</v>
      </c>
    </row>
    <row r="45" spans="2:13" ht="14.25">
      <c r="B45" s="527"/>
      <c r="C45" s="527"/>
      <c r="D45" s="527"/>
      <c r="E45" s="527"/>
      <c r="F45" s="528" t="s">
        <v>40</v>
      </c>
      <c r="G45" s="528"/>
      <c r="H45" s="528"/>
      <c r="I45" s="528"/>
      <c r="J45" s="404">
        <f>ROUND(SUM(J36:J43),4)</f>
        <v>180653.83</v>
      </c>
      <c r="K45" s="392">
        <f>((J45/$J$49))</f>
        <v>0.31614563622045999</v>
      </c>
      <c r="M45" s="407"/>
    </row>
    <row r="46" spans="2:13" ht="15.75">
      <c r="B46" s="388">
        <v>5</v>
      </c>
      <c r="C46" s="529" t="s">
        <v>142</v>
      </c>
      <c r="D46" s="529"/>
      <c r="E46" s="529"/>
      <c r="F46" s="530"/>
      <c r="G46" s="530"/>
      <c r="H46" s="530"/>
      <c r="I46" s="530"/>
      <c r="J46" s="530"/>
      <c r="K46" s="388" t="s">
        <v>31</v>
      </c>
      <c r="M46" s="407"/>
    </row>
    <row r="47" spans="2:13">
      <c r="B47" s="389" t="s">
        <v>143</v>
      </c>
      <c r="C47" s="390" t="str">
        <f>'PROJETO EXECUTIVO'!G2</f>
        <v>CPU - 05</v>
      </c>
      <c r="D47" s="390" t="s">
        <v>52</v>
      </c>
      <c r="E47" s="391" t="s">
        <v>144</v>
      </c>
      <c r="F47" s="389" t="s">
        <v>69</v>
      </c>
      <c r="G47" s="396">
        <f>ROUND(6*40,2)</f>
        <v>240</v>
      </c>
      <c r="H47" s="393">
        <f>'PROJETO EXECUTIVO'!G32</f>
        <v>17.43</v>
      </c>
      <c r="I47" s="393">
        <f t="shared" si="9"/>
        <v>21.18</v>
      </c>
      <c r="J47" s="393">
        <f t="shared" si="7"/>
        <v>5083.2</v>
      </c>
      <c r="K47" s="392">
        <f>((J47/$J$49))</f>
        <v>8.8956403417289505E-3</v>
      </c>
      <c r="M47" s="403" t="s">
        <v>145</v>
      </c>
    </row>
    <row r="48" spans="2:13" ht="14.25">
      <c r="B48" s="531"/>
      <c r="C48" s="532"/>
      <c r="D48" s="532"/>
      <c r="E48" s="533"/>
      <c r="F48" s="528" t="s">
        <v>41</v>
      </c>
      <c r="G48" s="528"/>
      <c r="H48" s="528"/>
      <c r="I48" s="528"/>
      <c r="J48" s="404">
        <f>ROUND(SUM(J30:J47),2)</f>
        <v>495297.45</v>
      </c>
      <c r="K48" s="392">
        <f>((J48/$J$49))</f>
        <v>0.86677446832221405</v>
      </c>
      <c r="M48" s="315"/>
    </row>
    <row r="49" spans="2:13" ht="15.75">
      <c r="B49" s="522"/>
      <c r="C49" s="523"/>
      <c r="D49" s="523"/>
      <c r="E49" s="524"/>
      <c r="F49" s="525" t="s">
        <v>42</v>
      </c>
      <c r="G49" s="525"/>
      <c r="H49" s="525"/>
      <c r="I49" s="525"/>
      <c r="J49" s="408">
        <f>ROUND(SUM(J19,J28,J48),2)</f>
        <v>571425.98</v>
      </c>
      <c r="K49" s="409">
        <f>((J49/$J$49))</f>
        <v>1</v>
      </c>
      <c r="M49" s="410"/>
    </row>
    <row r="50" spans="2:13">
      <c r="M50" s="315"/>
    </row>
    <row r="51" spans="2:13" ht="18">
      <c r="F51" s="526" t="s">
        <v>146</v>
      </c>
      <c r="G51" s="526"/>
      <c r="H51" s="526"/>
      <c r="I51" s="526"/>
      <c r="J51" s="411">
        <f>ROUND(G25+G47,2)</f>
        <v>1080</v>
      </c>
    </row>
    <row r="52" spans="2:13" ht="18">
      <c r="F52" s="526" t="s">
        <v>147</v>
      </c>
      <c r="G52" s="526"/>
      <c r="H52" s="526"/>
      <c r="I52" s="526"/>
      <c r="J52" s="412">
        <f>ROUND(J49/J51,2)</f>
        <v>529.1</v>
      </c>
    </row>
  </sheetData>
  <mergeCells count="34">
    <mergeCell ref="B2:H2"/>
    <mergeCell ref="B3:H3"/>
    <mergeCell ref="B4:H4"/>
    <mergeCell ref="B5:H5"/>
    <mergeCell ref="B6:K6"/>
    <mergeCell ref="B7:E7"/>
    <mergeCell ref="F7:G7"/>
    <mergeCell ref="I7:J7"/>
    <mergeCell ref="B8:K8"/>
    <mergeCell ref="C10:E10"/>
    <mergeCell ref="F10:J10"/>
    <mergeCell ref="F40:J40"/>
    <mergeCell ref="B19:E19"/>
    <mergeCell ref="F19:I19"/>
    <mergeCell ref="C20:E20"/>
    <mergeCell ref="F20:J20"/>
    <mergeCell ref="B28:E28"/>
    <mergeCell ref="F28:I28"/>
    <mergeCell ref="B49:E49"/>
    <mergeCell ref="F49:I49"/>
    <mergeCell ref="F51:I51"/>
    <mergeCell ref="F52:I52"/>
    <mergeCell ref="I2:K5"/>
    <mergeCell ref="B45:E45"/>
    <mergeCell ref="F45:I45"/>
    <mergeCell ref="C46:E46"/>
    <mergeCell ref="F46:J46"/>
    <mergeCell ref="B48:E48"/>
    <mergeCell ref="F48:I48"/>
    <mergeCell ref="C29:E29"/>
    <mergeCell ref="F29:J29"/>
    <mergeCell ref="B39:E39"/>
    <mergeCell ref="F39:I39"/>
    <mergeCell ref="C40:E40"/>
  </mergeCells>
  <conditionalFormatting sqref="B10">
    <cfRule type="expression" dxfId="15" priority="90" stopIfTrue="1">
      <formula>RIGHT(B10,2)="00"</formula>
    </cfRule>
  </conditionalFormatting>
  <conditionalFormatting sqref="H11:I11">
    <cfRule type="expression" dxfId="14" priority="70" stopIfTrue="1">
      <formula>OR(RIGHT($B11,2)="00",LEFT($E11,5)="Total")</formula>
    </cfRule>
  </conditionalFormatting>
  <conditionalFormatting sqref="H21:I27">
    <cfRule type="expression" dxfId="13" priority="65" stopIfTrue="1">
      <formula>OR(RIGHT($B21,2)="00",LEFT($E21,5)="Total")</formula>
    </cfRule>
  </conditionalFormatting>
  <conditionalFormatting sqref="J11:J18">
    <cfRule type="expression" dxfId="12" priority="92" stopIfTrue="1">
      <formula>OR(RIGHT($B11,2)="00",LEFT($E11,5)="Total")</formula>
    </cfRule>
  </conditionalFormatting>
  <conditionalFormatting sqref="J19">
    <cfRule type="expression" dxfId="11" priority="111" stopIfTrue="1">
      <formula>OR(RIGHT(#REF!,2)="00",LEFT($E19,5)="Total")</formula>
    </cfRule>
    <cfRule type="expression" dxfId="10" priority="113" stopIfTrue="1">
      <formula>OR(RIGHT($B19,2)="00",LEFT($E19,5)="Total")</formula>
    </cfRule>
  </conditionalFormatting>
  <conditionalFormatting sqref="J21:J28">
    <cfRule type="expression" dxfId="9" priority="80" stopIfTrue="1">
      <formula>OR(RIGHT($B21,2)="00",LEFT($E21,5)="Total")</formula>
    </cfRule>
  </conditionalFormatting>
  <conditionalFormatting sqref="J28">
    <cfRule type="expression" dxfId="8" priority="79" stopIfTrue="1">
      <formula>OR(RIGHT(#REF!,2)="00",LEFT($E28,5)="Total")</formula>
    </cfRule>
  </conditionalFormatting>
  <conditionalFormatting sqref="J39">
    <cfRule type="expression" dxfId="7" priority="3" stopIfTrue="1">
      <formula>OR(RIGHT(#REF!,2)="00",LEFT($E39,5)="Total")</formula>
    </cfRule>
    <cfRule type="expression" dxfId="6" priority="4" stopIfTrue="1">
      <formula>OR(RIGHT($B39,2)="00",LEFT($E39,5)="Total")</formula>
    </cfRule>
  </conditionalFormatting>
  <conditionalFormatting sqref="J45">
    <cfRule type="expression" dxfId="5" priority="1" stopIfTrue="1">
      <formula>OR(RIGHT(#REF!,2)="00",LEFT($E45,5)="Total")</formula>
    </cfRule>
    <cfRule type="expression" dxfId="4" priority="2" stopIfTrue="1">
      <formula>OR(RIGHT($B45,2)="00",LEFT($E45,5)="Total")</formula>
    </cfRule>
  </conditionalFormatting>
  <conditionalFormatting sqref="J48">
    <cfRule type="expression" dxfId="3" priority="94" stopIfTrue="1">
      <formula>OR(RIGHT(#REF!,2)="00",LEFT($E48,5)="Total")</formula>
    </cfRule>
    <cfRule type="expression" dxfId="2" priority="95" stopIfTrue="1">
      <formula>OR(RIGHT($B48,2)="00",LEFT($E48,5)="Total")</formula>
    </cfRule>
  </conditionalFormatting>
  <conditionalFormatting sqref="J48:J49">
    <cfRule type="expression" dxfId="1" priority="102" stopIfTrue="1">
      <formula>OR(RIGHT(#REF!,2)="00",LEFT($E48,5)="Total")</formula>
    </cfRule>
    <cfRule type="expression" dxfId="0" priority="104" stopIfTrue="1">
      <formula>OR(RIGHT($B48,2)="00",LEFT($E48,5)="Total")</formula>
    </cfRule>
  </conditionalFormatting>
  <pageMargins left="0.39370078740157499" right="0.39370078740157499" top="0.196850393700787" bottom="0.196850393700787" header="0.31496062992126" footer="0.31496062992126"/>
  <pageSetup paperSize="9" scale="55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4506668294322"/>
    <pageSetUpPr fitToPage="1"/>
  </sheetPr>
  <dimension ref="B2:S83"/>
  <sheetViews>
    <sheetView view="pageBreakPreview" topLeftCell="A34" zoomScale="50" zoomScaleNormal="70" workbookViewId="0">
      <selection activeCell="V18" sqref="V18"/>
    </sheetView>
  </sheetViews>
  <sheetFormatPr defaultColWidth="9.140625" defaultRowHeight="12.75"/>
  <cols>
    <col min="1" max="1" width="3" style="92" customWidth="1"/>
    <col min="2" max="2" width="6.5703125" style="92" customWidth="1"/>
    <col min="3" max="3" width="84.85546875" style="92" customWidth="1"/>
    <col min="4" max="4" width="21.140625" style="92" customWidth="1"/>
    <col min="5" max="5" width="23.42578125" style="316" customWidth="1"/>
    <col min="6" max="6" width="20" style="315" customWidth="1"/>
    <col min="7" max="7" width="21.42578125" style="315" customWidth="1"/>
    <col min="8" max="8" width="20.5703125" style="315" customWidth="1"/>
    <col min="9" max="9" width="21.42578125" style="315" customWidth="1"/>
    <col min="10" max="13" width="21" style="315" customWidth="1"/>
    <col min="14" max="14" width="20.5703125" style="315" customWidth="1"/>
    <col min="15" max="15" width="21.42578125" style="315" customWidth="1"/>
    <col min="16" max="16" width="19.5703125" style="315" customWidth="1"/>
    <col min="17" max="17" width="22.140625" style="315" customWidth="1"/>
    <col min="19" max="19" width="23.42578125" style="317" customWidth="1"/>
    <col min="20" max="16384" width="9.140625" style="92"/>
  </cols>
  <sheetData>
    <row r="2" spans="2:19" ht="30" customHeight="1">
      <c r="B2" s="542" t="s">
        <v>15</v>
      </c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344"/>
      <c r="Q2" s="347"/>
    </row>
    <row r="3" spans="2:19" ht="18">
      <c r="B3" s="544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345"/>
      <c r="Q3" s="348"/>
    </row>
    <row r="5" spans="2:19" s="315" customFormat="1" ht="23.25">
      <c r="B5" s="558" t="s">
        <v>148</v>
      </c>
      <c r="C5" s="559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559"/>
      <c r="Q5" s="560"/>
      <c r="S5" s="316"/>
    </row>
    <row r="6" spans="2:19" ht="15.75">
      <c r="B6" s="318"/>
      <c r="C6" s="319"/>
      <c r="D6" s="319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49"/>
    </row>
    <row r="7" spans="2:19">
      <c r="B7" s="321">
        <v>1</v>
      </c>
      <c r="C7" s="322" t="s">
        <v>50</v>
      </c>
      <c r="D7" s="323" t="s">
        <v>149</v>
      </c>
      <c r="E7" s="324" t="s">
        <v>150</v>
      </c>
      <c r="F7" s="325" t="s">
        <v>151</v>
      </c>
      <c r="G7" s="324" t="s">
        <v>152</v>
      </c>
      <c r="H7" s="324" t="s">
        <v>153</v>
      </c>
      <c r="I7" s="324" t="s">
        <v>154</v>
      </c>
      <c r="J7" s="324" t="s">
        <v>155</v>
      </c>
      <c r="K7" s="324" t="s">
        <v>156</v>
      </c>
      <c r="L7" s="324" t="s">
        <v>157</v>
      </c>
      <c r="M7" s="324" t="s">
        <v>158</v>
      </c>
      <c r="N7" s="324" t="s">
        <v>159</v>
      </c>
      <c r="O7" s="324" t="s">
        <v>160</v>
      </c>
      <c r="P7" s="324" t="s">
        <v>161</v>
      </c>
      <c r="Q7" s="350" t="s">
        <v>162</v>
      </c>
    </row>
    <row r="8" spans="2:19">
      <c r="B8" s="552" t="s">
        <v>51</v>
      </c>
      <c r="C8" s="546" t="str">
        <f>'Planilha Unitária'!E11</f>
        <v>Administração Local do Canteiro de Obras</v>
      </c>
      <c r="D8" s="327">
        <f>'Planilha Global'!L11</f>
        <v>539848.79999999993</v>
      </c>
      <c r="E8" s="328"/>
      <c r="F8" s="328"/>
      <c r="G8" s="328">
        <f>$D8/10</f>
        <v>53984.87999999999</v>
      </c>
      <c r="H8" s="328">
        <f t="shared" ref="H8:P8" si="0">$D8/10</f>
        <v>53984.87999999999</v>
      </c>
      <c r="I8" s="328">
        <f t="shared" si="0"/>
        <v>53984.87999999999</v>
      </c>
      <c r="J8" s="328">
        <f t="shared" si="0"/>
        <v>53984.87999999999</v>
      </c>
      <c r="K8" s="328">
        <f t="shared" si="0"/>
        <v>53984.87999999999</v>
      </c>
      <c r="L8" s="328">
        <f t="shared" si="0"/>
        <v>53984.87999999999</v>
      </c>
      <c r="M8" s="328">
        <f t="shared" si="0"/>
        <v>53984.87999999999</v>
      </c>
      <c r="N8" s="328">
        <f t="shared" si="0"/>
        <v>53984.87999999999</v>
      </c>
      <c r="O8" s="328">
        <f t="shared" si="0"/>
        <v>53984.87999999999</v>
      </c>
      <c r="P8" s="328">
        <f t="shared" si="0"/>
        <v>53984.87999999999</v>
      </c>
      <c r="Q8" s="351">
        <f>SUM(E8:P8)</f>
        <v>539848.79999999993</v>
      </c>
    </row>
    <row r="9" spans="2:19">
      <c r="B9" s="556"/>
      <c r="C9" s="547"/>
      <c r="D9" s="329" t="s">
        <v>31</v>
      </c>
      <c r="E9" s="330"/>
      <c r="F9" s="330"/>
      <c r="G9" s="330">
        <f t="shared" ref="G9:P9" si="1">G8/$D8</f>
        <v>9.9999999999999992E-2</v>
      </c>
      <c r="H9" s="330">
        <f t="shared" ref="H9" si="2">H8/$D8</f>
        <v>9.9999999999999992E-2</v>
      </c>
      <c r="I9" s="330">
        <f t="shared" ref="I9" si="3">I8/$D8</f>
        <v>9.9999999999999992E-2</v>
      </c>
      <c r="J9" s="330">
        <f t="shared" ref="J9" si="4">J8/$D8</f>
        <v>9.9999999999999992E-2</v>
      </c>
      <c r="K9" s="330">
        <f t="shared" ref="K9" si="5">K8/$D8</f>
        <v>9.9999999999999992E-2</v>
      </c>
      <c r="L9" s="330">
        <f t="shared" ref="L9" si="6">L8/$D8</f>
        <v>9.9999999999999992E-2</v>
      </c>
      <c r="M9" s="330">
        <f t="shared" ref="M9" si="7">M8/$D8</f>
        <v>9.9999999999999992E-2</v>
      </c>
      <c r="N9" s="330">
        <f t="shared" ref="N9" si="8">N8/$D8</f>
        <v>9.9999999999999992E-2</v>
      </c>
      <c r="O9" s="330">
        <f t="shared" ref="O9" si="9">O8/$D8</f>
        <v>9.9999999999999992E-2</v>
      </c>
      <c r="P9" s="330">
        <f t="shared" si="1"/>
        <v>9.9999999999999992E-2</v>
      </c>
      <c r="Q9" s="352">
        <v>1</v>
      </c>
    </row>
    <row r="10" spans="2:19">
      <c r="B10" s="552" t="s">
        <v>55</v>
      </c>
      <c r="C10" s="546" t="str">
        <f>'Planilha Unitária'!E12</f>
        <v>Transporte com cavalo mecânico com semirreboque com capacidade de 30 t - rodovia pavimentada - mobilização.</v>
      </c>
      <c r="D10" s="327">
        <f>'Planilha Global'!L12</f>
        <v>20578</v>
      </c>
      <c r="E10" s="328"/>
      <c r="F10" s="328"/>
      <c r="G10" s="328">
        <f>$D10/5</f>
        <v>4115.6000000000004</v>
      </c>
      <c r="H10" s="328">
        <f t="shared" ref="H10:K16" si="10">$D10/5</f>
        <v>4115.6000000000004</v>
      </c>
      <c r="I10" s="328">
        <f t="shared" si="10"/>
        <v>4115.6000000000004</v>
      </c>
      <c r="J10" s="328">
        <f t="shared" si="10"/>
        <v>4115.6000000000004</v>
      </c>
      <c r="K10" s="328">
        <f t="shared" si="10"/>
        <v>4115.6000000000004</v>
      </c>
      <c r="L10" s="328"/>
      <c r="M10" s="328"/>
      <c r="N10" s="328"/>
      <c r="O10" s="328"/>
      <c r="P10" s="328"/>
      <c r="Q10" s="351">
        <f>SUM(E10:P10)</f>
        <v>20578</v>
      </c>
    </row>
    <row r="11" spans="2:19">
      <c r="B11" s="556"/>
      <c r="C11" s="547"/>
      <c r="D11" s="329" t="s">
        <v>31</v>
      </c>
      <c r="E11" s="330"/>
      <c r="F11" s="330"/>
      <c r="G11" s="330">
        <f t="shared" ref="G11" si="11">G10/$D10</f>
        <v>0.2</v>
      </c>
      <c r="H11" s="330">
        <f t="shared" ref="H11" si="12">H10/$D10</f>
        <v>0.2</v>
      </c>
      <c r="I11" s="330">
        <f t="shared" ref="I11" si="13">I10/$D10</f>
        <v>0.2</v>
      </c>
      <c r="J11" s="330">
        <f t="shared" ref="J11" si="14">J10/$D10</f>
        <v>0.2</v>
      </c>
      <c r="K11" s="330">
        <f t="shared" ref="K11" si="15">K10/$D10</f>
        <v>0.2</v>
      </c>
      <c r="L11" s="330"/>
      <c r="M11" s="330"/>
      <c r="N11" s="330"/>
      <c r="O11" s="330"/>
      <c r="P11" s="330"/>
      <c r="Q11" s="352">
        <v>1</v>
      </c>
    </row>
    <row r="12" spans="2:19">
      <c r="B12" s="552" t="s">
        <v>60</v>
      </c>
      <c r="C12" s="546" t="str">
        <f>'Planilha Unitária'!E13</f>
        <v>Transporte com cavalo mecânico com semirreboque com capacidade de 30 t - rodovia em revestimento primário - mobilização.</v>
      </c>
      <c r="D12" s="327">
        <f>'Planilha Global'!L13</f>
        <v>49387</v>
      </c>
      <c r="E12" s="328"/>
      <c r="F12" s="328"/>
      <c r="G12" s="328">
        <f>$D12/5</f>
        <v>9877.4</v>
      </c>
      <c r="H12" s="328">
        <f t="shared" si="10"/>
        <v>9877.4</v>
      </c>
      <c r="I12" s="328">
        <f t="shared" si="10"/>
        <v>9877.4</v>
      </c>
      <c r="J12" s="328">
        <f t="shared" si="10"/>
        <v>9877.4</v>
      </c>
      <c r="K12" s="328">
        <f t="shared" si="10"/>
        <v>9877.4</v>
      </c>
      <c r="L12" s="328"/>
      <c r="M12" s="328"/>
      <c r="N12" s="328"/>
      <c r="O12" s="328"/>
      <c r="P12" s="328"/>
      <c r="Q12" s="351">
        <f>SUM(E12:P12)</f>
        <v>49387</v>
      </c>
    </row>
    <row r="13" spans="2:19">
      <c r="B13" s="556"/>
      <c r="C13" s="547"/>
      <c r="D13" s="329" t="s">
        <v>31</v>
      </c>
      <c r="E13" s="330"/>
      <c r="F13" s="330"/>
      <c r="G13" s="330">
        <f t="shared" ref="G13" si="16">G12/$D12</f>
        <v>0.19999999999999998</v>
      </c>
      <c r="H13" s="330">
        <f t="shared" ref="H13" si="17">H12/$D12</f>
        <v>0.19999999999999998</v>
      </c>
      <c r="I13" s="330">
        <f t="shared" ref="I13" si="18">I12/$D12</f>
        <v>0.19999999999999998</v>
      </c>
      <c r="J13" s="330">
        <f t="shared" ref="J13" si="19">J12/$D12</f>
        <v>0.19999999999999998</v>
      </c>
      <c r="K13" s="330">
        <f t="shared" ref="K13" si="20">K12/$D12</f>
        <v>0.19999999999999998</v>
      </c>
      <c r="L13" s="330"/>
      <c r="M13" s="330"/>
      <c r="N13" s="330"/>
      <c r="O13" s="330"/>
      <c r="P13" s="330"/>
      <c r="Q13" s="352">
        <v>1</v>
      </c>
    </row>
    <row r="14" spans="2:19">
      <c r="B14" s="552" t="s">
        <v>63</v>
      </c>
      <c r="C14" s="546" t="str">
        <f>'Planilha Unitária'!E14</f>
        <v>Transporte com cavalo mecânico com semirreboque com capacidade de 30 t - rodovia pavimentada - Desmobilização.</v>
      </c>
      <c r="D14" s="327">
        <f>'Planilha Global'!L14</f>
        <v>20578</v>
      </c>
      <c r="E14" s="328"/>
      <c r="F14" s="328"/>
      <c r="G14" s="328">
        <f>$D14/5</f>
        <v>4115.6000000000004</v>
      </c>
      <c r="H14" s="328">
        <f t="shared" si="10"/>
        <v>4115.6000000000004</v>
      </c>
      <c r="I14" s="328">
        <f t="shared" si="10"/>
        <v>4115.6000000000004</v>
      </c>
      <c r="J14" s="328">
        <f t="shared" si="10"/>
        <v>4115.6000000000004</v>
      </c>
      <c r="K14" s="328">
        <f t="shared" si="10"/>
        <v>4115.6000000000004</v>
      </c>
      <c r="L14" s="328"/>
      <c r="M14" s="328"/>
      <c r="N14" s="328"/>
      <c r="O14" s="328"/>
      <c r="P14" s="328"/>
      <c r="Q14" s="351">
        <f>SUM(E14:P14)</f>
        <v>20578</v>
      </c>
    </row>
    <row r="15" spans="2:19">
      <c r="B15" s="556"/>
      <c r="C15" s="547"/>
      <c r="D15" s="329" t="s">
        <v>31</v>
      </c>
      <c r="E15" s="330"/>
      <c r="F15" s="330"/>
      <c r="G15" s="330">
        <f t="shared" ref="G15" si="21">G14/$D14</f>
        <v>0.2</v>
      </c>
      <c r="H15" s="330">
        <f t="shared" ref="H15" si="22">H14/$D14</f>
        <v>0.2</v>
      </c>
      <c r="I15" s="330">
        <f t="shared" ref="I15" si="23">I14/$D14</f>
        <v>0.2</v>
      </c>
      <c r="J15" s="330">
        <f t="shared" ref="J15" si="24">J14/$D14</f>
        <v>0.2</v>
      </c>
      <c r="K15" s="330">
        <f t="shared" ref="K15" si="25">K14/$D14</f>
        <v>0.2</v>
      </c>
      <c r="L15" s="330"/>
      <c r="M15" s="330"/>
      <c r="N15" s="330"/>
      <c r="O15" s="330"/>
      <c r="P15" s="330"/>
      <c r="Q15" s="352">
        <v>1</v>
      </c>
    </row>
    <row r="16" spans="2:19" ht="12.75" customHeight="1">
      <c r="B16" s="552" t="s">
        <v>65</v>
      </c>
      <c r="C16" s="546" t="str">
        <f>'Planilha Unitária'!E15</f>
        <v>Transporte com cavalo mecânico com semirreboque com capacidade de 30 t - rodovia em revestimento primário - Desmobilização.</v>
      </c>
      <c r="D16" s="327">
        <f>'Planilha Global'!L15</f>
        <v>49387</v>
      </c>
      <c r="E16" s="328"/>
      <c r="F16" s="328"/>
      <c r="G16" s="328">
        <f>$D16/5</f>
        <v>9877.4</v>
      </c>
      <c r="H16" s="328">
        <f t="shared" si="10"/>
        <v>9877.4</v>
      </c>
      <c r="I16" s="328">
        <f t="shared" si="10"/>
        <v>9877.4</v>
      </c>
      <c r="J16" s="328">
        <f t="shared" si="10"/>
        <v>9877.4</v>
      </c>
      <c r="K16" s="328">
        <f t="shared" si="10"/>
        <v>9877.4</v>
      </c>
      <c r="L16" s="328"/>
      <c r="M16" s="328"/>
      <c r="N16" s="328"/>
      <c r="O16" s="328"/>
      <c r="P16" s="328"/>
      <c r="Q16" s="351">
        <f>SUM(E16:P16)</f>
        <v>49387</v>
      </c>
    </row>
    <row r="17" spans="2:17">
      <c r="B17" s="556"/>
      <c r="C17" s="547"/>
      <c r="D17" s="329" t="s">
        <v>31</v>
      </c>
      <c r="E17" s="330"/>
      <c r="F17" s="330"/>
      <c r="G17" s="330">
        <f t="shared" ref="G17" si="26">G16/$D16</f>
        <v>0.19999999999999998</v>
      </c>
      <c r="H17" s="330">
        <f t="shared" ref="H17" si="27">H16/$D16</f>
        <v>0.19999999999999998</v>
      </c>
      <c r="I17" s="330">
        <f t="shared" ref="I17" si="28">I16/$D16</f>
        <v>0.19999999999999998</v>
      </c>
      <c r="J17" s="330">
        <f t="shared" ref="J17" si="29">J16/$D16</f>
        <v>0.19999999999999998</v>
      </c>
      <c r="K17" s="330">
        <f t="shared" ref="K17" si="30">K16/$D16</f>
        <v>0.19999999999999998</v>
      </c>
      <c r="L17" s="330"/>
      <c r="M17" s="330"/>
      <c r="N17" s="330"/>
      <c r="O17" s="330"/>
      <c r="P17" s="330"/>
      <c r="Q17" s="352">
        <v>1</v>
      </c>
    </row>
    <row r="18" spans="2:17">
      <c r="B18" s="552" t="s">
        <v>67</v>
      </c>
      <c r="C18" s="546" t="str">
        <f>'Planilha Unitária'!E16</f>
        <v>Placa de obra em chapa de aço galvanizado (1,60 m * 3,20 m)</v>
      </c>
      <c r="D18" s="327">
        <f>'Planilha Global'!L16</f>
        <v>62806</v>
      </c>
      <c r="E18" s="328"/>
      <c r="F18" s="328"/>
      <c r="G18" s="328">
        <f>$D18</f>
        <v>62806</v>
      </c>
      <c r="H18" s="328"/>
      <c r="I18" s="328"/>
      <c r="J18" s="328"/>
      <c r="K18" s="328"/>
      <c r="L18" s="328"/>
      <c r="M18" s="328"/>
      <c r="N18" s="328"/>
      <c r="O18" s="328"/>
      <c r="P18" s="328"/>
      <c r="Q18" s="351">
        <f>SUM(E18:P18)</f>
        <v>62806</v>
      </c>
    </row>
    <row r="19" spans="2:17">
      <c r="B19" s="556"/>
      <c r="C19" s="547"/>
      <c r="D19" s="329" t="s">
        <v>31</v>
      </c>
      <c r="E19" s="330"/>
      <c r="F19" s="330"/>
      <c r="G19" s="330">
        <v>1</v>
      </c>
      <c r="H19" s="330"/>
      <c r="I19" s="330"/>
      <c r="J19" s="330"/>
      <c r="K19" s="330"/>
      <c r="L19" s="330"/>
      <c r="M19" s="330"/>
      <c r="N19" s="330"/>
      <c r="O19" s="330"/>
      <c r="P19" s="330"/>
      <c r="Q19" s="352">
        <v>1</v>
      </c>
    </row>
    <row r="20" spans="2:17">
      <c r="B20" s="552" t="s">
        <v>71</v>
      </c>
      <c r="C20" s="546" t="str">
        <f>'Planilha Unitária'!E17</f>
        <v>Barracão de obras de médio porte reapoveitamento 2 vezes</v>
      </c>
      <c r="D20" s="331">
        <f>'Planilha Global'!L17</f>
        <v>70663.199999999997</v>
      </c>
      <c r="E20" s="328"/>
      <c r="F20" s="328"/>
      <c r="G20" s="328">
        <f>$D20</f>
        <v>70663.199999999997</v>
      </c>
      <c r="H20" s="328"/>
      <c r="I20" s="328"/>
      <c r="J20" s="328"/>
      <c r="K20" s="328"/>
      <c r="L20" s="328"/>
      <c r="M20" s="328"/>
      <c r="N20" s="328"/>
      <c r="O20" s="328"/>
      <c r="P20" s="328"/>
      <c r="Q20" s="351">
        <f>SUM(E20:P20)</f>
        <v>70663.199999999997</v>
      </c>
    </row>
    <row r="21" spans="2:17">
      <c r="B21" s="556"/>
      <c r="C21" s="547"/>
      <c r="D21" s="329" t="s">
        <v>31</v>
      </c>
      <c r="E21" s="330"/>
      <c r="F21" s="330"/>
      <c r="G21" s="330">
        <v>1</v>
      </c>
      <c r="H21" s="330"/>
      <c r="I21" s="330"/>
      <c r="J21" s="330"/>
      <c r="K21" s="330"/>
      <c r="L21" s="330"/>
      <c r="M21" s="330"/>
      <c r="N21" s="330"/>
      <c r="O21" s="330"/>
      <c r="P21" s="330"/>
      <c r="Q21" s="352">
        <v>1</v>
      </c>
    </row>
    <row r="22" spans="2:17">
      <c r="B22" s="552" t="s">
        <v>75</v>
      </c>
      <c r="C22" s="546" t="str">
        <f>'Planilha Unitária'!E18</f>
        <v>Locação convencional de obra, utilizando gabarito de tábuas corridas pontaletadas a cada 2,00 m - 2 utilizações</v>
      </c>
      <c r="D22" s="327">
        <f>'Planilha Global'!L18</f>
        <v>186121.60000000001</v>
      </c>
      <c r="E22" s="328"/>
      <c r="F22" s="328"/>
      <c r="G22" s="328">
        <f>$D22</f>
        <v>186121.60000000001</v>
      </c>
      <c r="H22" s="328"/>
      <c r="I22" s="328"/>
      <c r="J22" s="328"/>
      <c r="K22" s="328"/>
      <c r="L22" s="328"/>
      <c r="M22" s="328"/>
      <c r="N22" s="328"/>
      <c r="O22" s="328"/>
      <c r="P22" s="328"/>
      <c r="Q22" s="351">
        <f>SUM(E22:P22)</f>
        <v>186121.60000000001</v>
      </c>
    </row>
    <row r="23" spans="2:17">
      <c r="B23" s="557"/>
      <c r="C23" s="548"/>
      <c r="D23" s="333" t="s">
        <v>31</v>
      </c>
      <c r="E23" s="334"/>
      <c r="F23" s="334"/>
      <c r="G23" s="334">
        <v>1</v>
      </c>
      <c r="H23" s="334"/>
      <c r="I23" s="334"/>
      <c r="J23" s="334"/>
      <c r="K23" s="334"/>
      <c r="L23" s="334"/>
      <c r="M23" s="334"/>
      <c r="N23" s="334"/>
      <c r="O23" s="334"/>
      <c r="P23" s="334"/>
      <c r="Q23" s="353">
        <v>1</v>
      </c>
    </row>
    <row r="24" spans="2:17">
      <c r="B24" s="335"/>
      <c r="C24" s="336"/>
      <c r="D24" s="337"/>
      <c r="E24" s="338"/>
      <c r="F24" s="337"/>
      <c r="G24" s="337"/>
      <c r="H24" s="337"/>
      <c r="I24" s="337"/>
      <c r="J24" s="337"/>
      <c r="K24" s="337"/>
      <c r="L24" s="337"/>
      <c r="M24" s="337"/>
      <c r="N24" s="337"/>
      <c r="O24" s="338"/>
      <c r="P24" s="346"/>
      <c r="Q24" s="354"/>
    </row>
    <row r="25" spans="2:17">
      <c r="B25" s="321">
        <v>2</v>
      </c>
      <c r="C25" s="322" t="s">
        <v>80</v>
      </c>
      <c r="D25" s="323" t="s">
        <v>149</v>
      </c>
      <c r="E25" s="324" t="s">
        <v>150</v>
      </c>
      <c r="F25" s="325" t="s">
        <v>151</v>
      </c>
      <c r="G25" s="324" t="s">
        <v>152</v>
      </c>
      <c r="H25" s="324" t="s">
        <v>153</v>
      </c>
      <c r="I25" s="324" t="s">
        <v>154</v>
      </c>
      <c r="J25" s="324" t="s">
        <v>155</v>
      </c>
      <c r="K25" s="324" t="s">
        <v>156</v>
      </c>
      <c r="L25" s="324" t="s">
        <v>157</v>
      </c>
      <c r="M25" s="324" t="s">
        <v>158</v>
      </c>
      <c r="N25" s="324" t="s">
        <v>159</v>
      </c>
      <c r="O25" s="324" t="s">
        <v>160</v>
      </c>
      <c r="P25" s="324" t="s">
        <v>161</v>
      </c>
      <c r="Q25" s="350" t="s">
        <v>162</v>
      </c>
    </row>
    <row r="26" spans="2:17">
      <c r="B26" s="552" t="s">
        <v>81</v>
      </c>
      <c r="C26" s="546" t="str">
        <f>'Planilha Global'!E21</f>
        <v>Limpeza mecanizada da camada vegetal com retroescavadeira de pneus com capacidade de 0,76 m³ - 58 Kw</v>
      </c>
      <c r="D26" s="327">
        <f>'Planilha Global'!L21</f>
        <v>6360</v>
      </c>
      <c r="E26" s="328"/>
      <c r="F26" s="328"/>
      <c r="G26" s="328">
        <f>$D26/5</f>
        <v>1272</v>
      </c>
      <c r="H26" s="328">
        <f t="shared" ref="H26:K26" si="31">$D26/5</f>
        <v>1272</v>
      </c>
      <c r="I26" s="328">
        <f t="shared" si="31"/>
        <v>1272</v>
      </c>
      <c r="J26" s="328">
        <f t="shared" si="31"/>
        <v>1272</v>
      </c>
      <c r="K26" s="328">
        <f t="shared" si="31"/>
        <v>1272</v>
      </c>
      <c r="L26" s="328"/>
      <c r="M26" s="328"/>
      <c r="N26" s="328"/>
      <c r="O26" s="328"/>
      <c r="P26" s="328"/>
      <c r="Q26" s="351">
        <f>SUM(E26:P26)</f>
        <v>6360</v>
      </c>
    </row>
    <row r="27" spans="2:17">
      <c r="B27" s="555"/>
      <c r="C27" s="547"/>
      <c r="D27" s="329" t="s">
        <v>31</v>
      </c>
      <c r="E27" s="330"/>
      <c r="F27" s="330"/>
      <c r="G27" s="330">
        <f t="shared" ref="G27" si="32">G26/$D26</f>
        <v>0.2</v>
      </c>
      <c r="H27" s="330">
        <f t="shared" ref="H27" si="33">H26/$D26</f>
        <v>0.2</v>
      </c>
      <c r="I27" s="330">
        <f t="shared" ref="I27" si="34">I26/$D26</f>
        <v>0.2</v>
      </c>
      <c r="J27" s="330">
        <f t="shared" ref="J27" si="35">J26/$D26</f>
        <v>0.2</v>
      </c>
      <c r="K27" s="330">
        <f t="shared" ref="K27" si="36">K26/$D26</f>
        <v>0.2</v>
      </c>
      <c r="L27" s="330"/>
      <c r="M27" s="330"/>
      <c r="N27" s="330"/>
      <c r="O27" s="330"/>
      <c r="P27" s="330"/>
      <c r="Q27" s="352">
        <v>1</v>
      </c>
    </row>
    <row r="28" spans="2:17">
      <c r="B28" s="552" t="s">
        <v>84</v>
      </c>
      <c r="C28" s="546" t="str">
        <f>'Planilha Global'!E22</f>
        <v>Escavação e carga de material de jazida com escavadeira hidráulica de 1,56 m³</v>
      </c>
      <c r="D28" s="327">
        <f>'Planilha Global'!L22</f>
        <v>21319.4</v>
      </c>
      <c r="E28" s="328"/>
      <c r="F28" s="328"/>
      <c r="G28" s="328">
        <f>$D28/5</f>
        <v>4263.88</v>
      </c>
      <c r="H28" s="328">
        <f t="shared" ref="H28:K28" si="37">$D28/5</f>
        <v>4263.88</v>
      </c>
      <c r="I28" s="328">
        <f t="shared" si="37"/>
        <v>4263.88</v>
      </c>
      <c r="J28" s="328">
        <f t="shared" si="37"/>
        <v>4263.88</v>
      </c>
      <c r="K28" s="328">
        <f t="shared" si="37"/>
        <v>4263.88</v>
      </c>
      <c r="L28" s="328"/>
      <c r="M28" s="328"/>
      <c r="N28" s="328"/>
      <c r="O28" s="328"/>
      <c r="P28" s="328"/>
      <c r="Q28" s="351">
        <f>SUM(E28:P28)</f>
        <v>21319.4</v>
      </c>
    </row>
    <row r="29" spans="2:17">
      <c r="B29" s="555"/>
      <c r="C29" s="547"/>
      <c r="D29" s="329" t="s">
        <v>31</v>
      </c>
      <c r="E29" s="330"/>
      <c r="F29" s="330"/>
      <c r="G29" s="330">
        <f t="shared" ref="G29" si="38">G28/$D28</f>
        <v>0.19999999999999998</v>
      </c>
      <c r="H29" s="330">
        <f t="shared" ref="H29" si="39">H28/$D28</f>
        <v>0.19999999999999998</v>
      </c>
      <c r="I29" s="330">
        <f t="shared" ref="I29" si="40">I28/$D28</f>
        <v>0.19999999999999998</v>
      </c>
      <c r="J29" s="330">
        <f t="shared" ref="J29" si="41">J28/$D28</f>
        <v>0.19999999999999998</v>
      </c>
      <c r="K29" s="330">
        <f t="shared" ref="K29" si="42">K28/$D28</f>
        <v>0.19999999999999998</v>
      </c>
      <c r="L29" s="330"/>
      <c r="M29" s="330"/>
      <c r="N29" s="330"/>
      <c r="O29" s="330"/>
      <c r="P29" s="330"/>
      <c r="Q29" s="352">
        <v>1</v>
      </c>
    </row>
    <row r="30" spans="2:17">
      <c r="B30" s="552" t="s">
        <v>88</v>
      </c>
      <c r="C30" s="546" t="str">
        <f>'Planilha Global'!E23</f>
        <v>Transporte com caminhão basculante com caçamba estanque com capacidade de 14 m³ - rodovia em leito natural</v>
      </c>
      <c r="D30" s="327">
        <f>'Planilha Global'!L23</f>
        <v>309383</v>
      </c>
      <c r="E30" s="328"/>
      <c r="F30" s="328"/>
      <c r="G30" s="328">
        <f>$D30/5</f>
        <v>61876.6</v>
      </c>
      <c r="H30" s="328">
        <f t="shared" ref="H30:K30" si="43">$D30/5</f>
        <v>61876.6</v>
      </c>
      <c r="I30" s="328">
        <f t="shared" si="43"/>
        <v>61876.6</v>
      </c>
      <c r="J30" s="328">
        <f t="shared" si="43"/>
        <v>61876.6</v>
      </c>
      <c r="K30" s="328">
        <f t="shared" si="43"/>
        <v>61876.6</v>
      </c>
      <c r="L30" s="328"/>
      <c r="M30" s="328"/>
      <c r="N30" s="328"/>
      <c r="O30" s="328"/>
      <c r="P30" s="328"/>
      <c r="Q30" s="351">
        <f>SUM(E30:P30)</f>
        <v>309383</v>
      </c>
    </row>
    <row r="31" spans="2:17">
      <c r="B31" s="555"/>
      <c r="C31" s="547"/>
      <c r="D31" s="329" t="s">
        <v>31</v>
      </c>
      <c r="E31" s="330"/>
      <c r="F31" s="330"/>
      <c r="G31" s="330">
        <f t="shared" ref="G31" si="44">G30/$D30</f>
        <v>0.19999999999999998</v>
      </c>
      <c r="H31" s="330">
        <f t="shared" ref="H31" si="45">H30/$D30</f>
        <v>0.19999999999999998</v>
      </c>
      <c r="I31" s="330">
        <f t="shared" ref="I31" si="46">I30/$D30</f>
        <v>0.19999999999999998</v>
      </c>
      <c r="J31" s="330">
        <f t="shared" ref="J31" si="47">J30/$D30</f>
        <v>0.19999999999999998</v>
      </c>
      <c r="K31" s="330">
        <f t="shared" ref="K31" si="48">K30/$D30</f>
        <v>0.19999999999999998</v>
      </c>
      <c r="L31" s="330"/>
      <c r="M31" s="330"/>
      <c r="N31" s="330"/>
      <c r="O31" s="330"/>
      <c r="P31" s="330"/>
      <c r="Q31" s="352">
        <v>1</v>
      </c>
    </row>
    <row r="32" spans="2:17">
      <c r="B32" s="326" t="s">
        <v>91</v>
      </c>
      <c r="C32" s="546" t="str">
        <f>'Planilha Global'!E24</f>
        <v>Compactação manual com soquete vibratório.</v>
      </c>
      <c r="D32" s="327">
        <f>'Planilha Global'!L24</f>
        <v>21826.399999999998</v>
      </c>
      <c r="E32" s="328"/>
      <c r="F32" s="328"/>
      <c r="G32" s="328">
        <f>$D32/5</f>
        <v>4365.28</v>
      </c>
      <c r="H32" s="328">
        <f t="shared" ref="H32:K32" si="49">$D32/5</f>
        <v>4365.28</v>
      </c>
      <c r="I32" s="328">
        <f t="shared" si="49"/>
        <v>4365.28</v>
      </c>
      <c r="J32" s="328">
        <f t="shared" si="49"/>
        <v>4365.28</v>
      </c>
      <c r="K32" s="328">
        <f t="shared" si="49"/>
        <v>4365.28</v>
      </c>
      <c r="L32" s="328"/>
      <c r="M32" s="328"/>
      <c r="N32" s="328"/>
      <c r="O32" s="328"/>
      <c r="P32" s="328"/>
      <c r="Q32" s="351">
        <f>SUM(E32:P32)</f>
        <v>21826.399999999998</v>
      </c>
    </row>
    <row r="33" spans="2:17">
      <c r="B33" s="339"/>
      <c r="C33" s="547"/>
      <c r="D33" s="329" t="s">
        <v>31</v>
      </c>
      <c r="E33" s="330"/>
      <c r="F33" s="330"/>
      <c r="G33" s="330">
        <f t="shared" ref="G33" si="50">G32/$D32</f>
        <v>0.2</v>
      </c>
      <c r="H33" s="330">
        <f t="shared" ref="H33" si="51">H32/$D32</f>
        <v>0.2</v>
      </c>
      <c r="I33" s="330">
        <f t="shared" ref="I33" si="52">I32/$D32</f>
        <v>0.2</v>
      </c>
      <c r="J33" s="330">
        <f t="shared" ref="J33" si="53">J32/$D32</f>
        <v>0.2</v>
      </c>
      <c r="K33" s="330">
        <f t="shared" ref="K33" si="54">K32/$D32</f>
        <v>0.2</v>
      </c>
      <c r="L33" s="330"/>
      <c r="M33" s="330"/>
      <c r="N33" s="330"/>
      <c r="O33" s="330"/>
      <c r="P33" s="330"/>
      <c r="Q33" s="352">
        <v>1</v>
      </c>
    </row>
    <row r="34" spans="2:17">
      <c r="B34" s="552" t="s">
        <v>94</v>
      </c>
      <c r="C34" s="546" t="str">
        <f>'Planilha Global'!E25</f>
        <v>Regularização de subleito.</v>
      </c>
      <c r="D34" s="327">
        <f>'Planilha Global'!L25</f>
        <v>23856</v>
      </c>
      <c r="E34" s="328"/>
      <c r="F34" s="328"/>
      <c r="G34" s="328">
        <f>$D34/5</f>
        <v>4771.2</v>
      </c>
      <c r="H34" s="328">
        <f t="shared" ref="H34:K38" si="55">$D34/5</f>
        <v>4771.2</v>
      </c>
      <c r="I34" s="328">
        <f t="shared" si="55"/>
        <v>4771.2</v>
      </c>
      <c r="J34" s="328">
        <f t="shared" si="55"/>
        <v>4771.2</v>
      </c>
      <c r="K34" s="328">
        <f t="shared" si="55"/>
        <v>4771.2</v>
      </c>
      <c r="L34" s="328"/>
      <c r="M34" s="328"/>
      <c r="N34" s="328"/>
      <c r="O34" s="328"/>
      <c r="P34" s="328"/>
      <c r="Q34" s="351">
        <f>SUM(E34:P34)</f>
        <v>23856</v>
      </c>
    </row>
    <row r="35" spans="2:17">
      <c r="B35" s="555"/>
      <c r="C35" s="549"/>
      <c r="D35" s="329" t="s">
        <v>31</v>
      </c>
      <c r="E35" s="330"/>
      <c r="F35" s="330"/>
      <c r="G35" s="330">
        <f t="shared" ref="G35" si="56">G34/$D34</f>
        <v>0.19999999999999998</v>
      </c>
      <c r="H35" s="330">
        <f t="shared" ref="H35" si="57">H34/$D34</f>
        <v>0.19999999999999998</v>
      </c>
      <c r="I35" s="330">
        <f t="shared" ref="I35" si="58">I34/$D34</f>
        <v>0.19999999999999998</v>
      </c>
      <c r="J35" s="330">
        <f t="shared" ref="J35" si="59">J34/$D34</f>
        <v>0.19999999999999998</v>
      </c>
      <c r="K35" s="330">
        <f t="shared" ref="K35" si="60">K34/$D34</f>
        <v>0.19999999999999998</v>
      </c>
      <c r="L35" s="330"/>
      <c r="M35" s="330"/>
      <c r="N35" s="330"/>
      <c r="O35" s="330"/>
      <c r="P35" s="330"/>
      <c r="Q35" s="352">
        <v>1</v>
      </c>
    </row>
    <row r="36" spans="2:17">
      <c r="B36" s="552" t="s">
        <v>97</v>
      </c>
      <c r="C36" s="546" t="str">
        <f>'Planilha Global'!E26</f>
        <v>Execução de revestimento primário com material de jazida.</v>
      </c>
      <c r="D36" s="327">
        <f>'Planilha Global'!L26</f>
        <v>139406.39999999999</v>
      </c>
      <c r="E36" s="328"/>
      <c r="F36" s="328"/>
      <c r="G36" s="328">
        <f>$D36/5</f>
        <v>27881.279999999999</v>
      </c>
      <c r="H36" s="328">
        <f t="shared" si="55"/>
        <v>27881.279999999999</v>
      </c>
      <c r="I36" s="328">
        <f t="shared" si="55"/>
        <v>27881.279999999999</v>
      </c>
      <c r="J36" s="328">
        <f t="shared" si="55"/>
        <v>27881.279999999999</v>
      </c>
      <c r="K36" s="328">
        <f t="shared" si="55"/>
        <v>27881.279999999999</v>
      </c>
      <c r="L36" s="328"/>
      <c r="M36" s="328"/>
      <c r="N36" s="328"/>
      <c r="O36" s="328"/>
      <c r="P36" s="328"/>
      <c r="Q36" s="351">
        <f>SUM(E36:P36)</f>
        <v>139406.39999999999</v>
      </c>
    </row>
    <row r="37" spans="2:17">
      <c r="B37" s="555"/>
      <c r="C37" s="549"/>
      <c r="D37" s="329" t="s">
        <v>31</v>
      </c>
      <c r="E37" s="330"/>
      <c r="F37" s="330"/>
      <c r="G37" s="330">
        <f t="shared" ref="G37" si="61">G36/$D36</f>
        <v>0.2</v>
      </c>
      <c r="H37" s="330">
        <f t="shared" ref="H37" si="62">H36/$D36</f>
        <v>0.2</v>
      </c>
      <c r="I37" s="330">
        <f t="shared" ref="I37" si="63">I36/$D36</f>
        <v>0.2</v>
      </c>
      <c r="J37" s="330">
        <f t="shared" ref="J37" si="64">J36/$D36</f>
        <v>0.2</v>
      </c>
      <c r="K37" s="330">
        <f t="shared" ref="K37" si="65">K36/$D36</f>
        <v>0.2</v>
      </c>
      <c r="L37" s="330"/>
      <c r="M37" s="330"/>
      <c r="N37" s="330"/>
      <c r="O37" s="330"/>
      <c r="P37" s="330"/>
      <c r="Q37" s="352">
        <v>1</v>
      </c>
    </row>
    <row r="38" spans="2:17">
      <c r="B38" s="552" t="s">
        <v>100</v>
      </c>
      <c r="C38" s="546" t="str">
        <f>'Planilha Global'!E27</f>
        <v>Ensaios geotécnicos.</v>
      </c>
      <c r="D38" s="327">
        <f>'Planilha Global'!L27</f>
        <v>48600</v>
      </c>
      <c r="E38" s="328"/>
      <c r="F38" s="328"/>
      <c r="G38" s="328">
        <f>$D38/5</f>
        <v>9720</v>
      </c>
      <c r="H38" s="328">
        <f t="shared" si="55"/>
        <v>9720</v>
      </c>
      <c r="I38" s="328">
        <f t="shared" si="55"/>
        <v>9720</v>
      </c>
      <c r="J38" s="328">
        <f t="shared" si="55"/>
        <v>9720</v>
      </c>
      <c r="K38" s="328">
        <f t="shared" si="55"/>
        <v>9720</v>
      </c>
      <c r="L38" s="328"/>
      <c r="M38" s="328"/>
      <c r="N38" s="328"/>
      <c r="O38" s="328"/>
      <c r="P38" s="328"/>
      <c r="Q38" s="351">
        <f>SUM(E38:P38)</f>
        <v>48600</v>
      </c>
    </row>
    <row r="39" spans="2:17">
      <c r="B39" s="553"/>
      <c r="C39" s="551"/>
      <c r="D39" s="333" t="s">
        <v>31</v>
      </c>
      <c r="E39" s="330"/>
      <c r="F39" s="330"/>
      <c r="G39" s="330">
        <f t="shared" ref="G39" si="66">G38/$D38</f>
        <v>0.2</v>
      </c>
      <c r="H39" s="330">
        <f t="shared" ref="H39" si="67">H38/$D38</f>
        <v>0.2</v>
      </c>
      <c r="I39" s="330">
        <f t="shared" ref="I39" si="68">I38/$D38</f>
        <v>0.2</v>
      </c>
      <c r="J39" s="330">
        <f t="shared" ref="J39" si="69">J38/$D38</f>
        <v>0.2</v>
      </c>
      <c r="K39" s="330">
        <f t="shared" ref="K39" si="70">K38/$D38</f>
        <v>0.2</v>
      </c>
      <c r="L39" s="330"/>
      <c r="M39" s="330"/>
      <c r="N39" s="330"/>
      <c r="O39" s="330"/>
      <c r="P39" s="330"/>
      <c r="Q39" s="353">
        <v>1</v>
      </c>
    </row>
    <row r="40" spans="2:17">
      <c r="B40" s="335"/>
      <c r="C40" s="336"/>
      <c r="D40" s="337"/>
      <c r="E40" s="338"/>
      <c r="F40" s="337"/>
      <c r="G40" s="337"/>
      <c r="H40" s="337"/>
      <c r="I40" s="337"/>
      <c r="J40" s="337"/>
      <c r="K40" s="337"/>
      <c r="L40" s="337"/>
      <c r="M40" s="337"/>
      <c r="N40" s="337"/>
      <c r="O40" s="338"/>
      <c r="P40" s="346"/>
      <c r="Q40" s="354"/>
    </row>
    <row r="41" spans="2:17">
      <c r="B41" s="321">
        <v>3</v>
      </c>
      <c r="C41" s="322" t="s">
        <v>163</v>
      </c>
      <c r="D41" s="323" t="s">
        <v>149</v>
      </c>
      <c r="E41" s="324" t="s">
        <v>150</v>
      </c>
      <c r="F41" s="325" t="s">
        <v>151</v>
      </c>
      <c r="G41" s="324" t="s">
        <v>152</v>
      </c>
      <c r="H41" s="324" t="s">
        <v>153</v>
      </c>
      <c r="I41" s="324" t="s">
        <v>154</v>
      </c>
      <c r="J41" s="324" t="s">
        <v>155</v>
      </c>
      <c r="K41" s="324" t="s">
        <v>156</v>
      </c>
      <c r="L41" s="324" t="s">
        <v>157</v>
      </c>
      <c r="M41" s="324" t="s">
        <v>158</v>
      </c>
      <c r="N41" s="324" t="s">
        <v>159</v>
      </c>
      <c r="O41" s="324" t="s">
        <v>160</v>
      </c>
      <c r="P41" s="324" t="s">
        <v>161</v>
      </c>
      <c r="Q41" s="350" t="s">
        <v>162</v>
      </c>
    </row>
    <row r="42" spans="2:17">
      <c r="B42" s="552" t="str">
        <f>'Planilha Global'!B30</f>
        <v>3.1</v>
      </c>
      <c r="C42" s="546" t="str">
        <f>'Planilha Global'!E30</f>
        <v>Escavação mecânica com retroescavadeira em material de 1ª categoria</v>
      </c>
      <c r="D42" s="327">
        <f>'Planilha Global'!L30</f>
        <v>20112</v>
      </c>
      <c r="E42" s="328"/>
      <c r="F42" s="328"/>
      <c r="G42" s="328"/>
      <c r="H42" s="328"/>
      <c r="I42" s="328">
        <f>$D42/6</f>
        <v>3352</v>
      </c>
      <c r="J42" s="328">
        <f t="shared" ref="J42:N58" si="71">$D42/6</f>
        <v>3352</v>
      </c>
      <c r="K42" s="328">
        <f t="shared" si="71"/>
        <v>3352</v>
      </c>
      <c r="L42" s="328">
        <f t="shared" si="71"/>
        <v>3352</v>
      </c>
      <c r="M42" s="328">
        <f t="shared" si="71"/>
        <v>3352</v>
      </c>
      <c r="N42" s="328">
        <f t="shared" si="71"/>
        <v>3352</v>
      </c>
      <c r="O42" s="328"/>
      <c r="P42" s="328"/>
      <c r="Q42" s="351">
        <f>SUM(E42:P42)</f>
        <v>20112</v>
      </c>
    </row>
    <row r="43" spans="2:17">
      <c r="B43" s="555"/>
      <c r="C43" s="547"/>
      <c r="D43" s="329" t="s">
        <v>31</v>
      </c>
      <c r="E43" s="330"/>
      <c r="F43" s="330"/>
      <c r="G43" s="330"/>
      <c r="H43" s="330"/>
      <c r="I43" s="330">
        <f t="shared" ref="I43" si="72">I42/$D42</f>
        <v>0.16666666666666666</v>
      </c>
      <c r="J43" s="330">
        <f t="shared" ref="J43" si="73">J42/$D42</f>
        <v>0.16666666666666666</v>
      </c>
      <c r="K43" s="330">
        <f t="shared" ref="K43" si="74">K42/$D42</f>
        <v>0.16666666666666666</v>
      </c>
      <c r="L43" s="330">
        <f t="shared" ref="L43" si="75">L42/$D42</f>
        <v>0.16666666666666666</v>
      </c>
      <c r="M43" s="330">
        <f t="shared" ref="M43" si="76">M42/$D42</f>
        <v>0.16666666666666666</v>
      </c>
      <c r="N43" s="330">
        <f t="shared" ref="N43" si="77">N42/$D42</f>
        <v>0.16666666666666666</v>
      </c>
      <c r="O43" s="330"/>
      <c r="P43" s="330"/>
      <c r="Q43" s="352">
        <v>1</v>
      </c>
    </row>
    <row r="44" spans="2:17">
      <c r="B44" s="552" t="s">
        <v>108</v>
      </c>
      <c r="C44" s="546" t="str">
        <f>'Planilha Global'!E31</f>
        <v>Tubo de concreto PA1 comercial para drenagem - D = 0,50 m - fornecimento e instalação</v>
      </c>
      <c r="D44" s="327">
        <f>'Planilha Global'!L31</f>
        <v>133449.59999999998</v>
      </c>
      <c r="E44" s="328"/>
      <c r="F44" s="328"/>
      <c r="G44" s="328"/>
      <c r="H44" s="328"/>
      <c r="I44" s="328">
        <f>$D44/6</f>
        <v>22241.599999999995</v>
      </c>
      <c r="J44" s="328">
        <f t="shared" si="71"/>
        <v>22241.599999999995</v>
      </c>
      <c r="K44" s="328">
        <f t="shared" si="71"/>
        <v>22241.599999999995</v>
      </c>
      <c r="L44" s="328">
        <f t="shared" si="71"/>
        <v>22241.599999999995</v>
      </c>
      <c r="M44" s="328">
        <f t="shared" si="71"/>
        <v>22241.599999999995</v>
      </c>
      <c r="N44" s="328">
        <f t="shared" si="71"/>
        <v>22241.599999999995</v>
      </c>
      <c r="O44" s="328"/>
      <c r="P44" s="328"/>
      <c r="Q44" s="351">
        <f>SUM(E44:P44)</f>
        <v>133449.59999999998</v>
      </c>
    </row>
    <row r="45" spans="2:17">
      <c r="B45" s="555"/>
      <c r="C45" s="547"/>
      <c r="D45" s="329" t="s">
        <v>31</v>
      </c>
      <c r="E45" s="330"/>
      <c r="F45" s="330"/>
      <c r="G45" s="330"/>
      <c r="H45" s="330"/>
      <c r="I45" s="330">
        <f t="shared" ref="I45" si="78">I44/$D44</f>
        <v>0.16666666666666666</v>
      </c>
      <c r="J45" s="330">
        <f t="shared" ref="J45" si="79">J44/$D44</f>
        <v>0.16666666666666666</v>
      </c>
      <c r="K45" s="330">
        <f t="shared" ref="K45" si="80">K44/$D44</f>
        <v>0.16666666666666666</v>
      </c>
      <c r="L45" s="330">
        <f t="shared" ref="L45" si="81">L44/$D44</f>
        <v>0.16666666666666666</v>
      </c>
      <c r="M45" s="330">
        <f t="shared" ref="M45" si="82">M44/$D44</f>
        <v>0.16666666666666666</v>
      </c>
      <c r="N45" s="330">
        <f t="shared" ref="N45" si="83">N44/$D44</f>
        <v>0.16666666666666666</v>
      </c>
      <c r="O45" s="330"/>
      <c r="P45" s="330"/>
      <c r="Q45" s="352">
        <v>1</v>
      </c>
    </row>
    <row r="46" spans="2:17">
      <c r="B46" s="552" t="s">
        <v>111</v>
      </c>
      <c r="C46" s="546" t="str">
        <f>'Planilha Global'!E32</f>
        <v>Concreto magro - confecção em betoneira e lançamento manual - areia e brita comerciais</v>
      </c>
      <c r="D46" s="327">
        <f>'Planilha Global'!L32</f>
        <v>91772.800000000003</v>
      </c>
      <c r="E46" s="328"/>
      <c r="F46" s="328"/>
      <c r="G46" s="328"/>
      <c r="H46" s="328"/>
      <c r="I46" s="328">
        <f>$D46/6</f>
        <v>15295.466666666667</v>
      </c>
      <c r="J46" s="328">
        <f t="shared" si="71"/>
        <v>15295.466666666667</v>
      </c>
      <c r="K46" s="328">
        <f t="shared" si="71"/>
        <v>15295.466666666667</v>
      </c>
      <c r="L46" s="328">
        <f t="shared" si="71"/>
        <v>15295.466666666667</v>
      </c>
      <c r="M46" s="328">
        <f t="shared" si="71"/>
        <v>15295.466666666667</v>
      </c>
      <c r="N46" s="328">
        <f t="shared" si="71"/>
        <v>15295.466666666667</v>
      </c>
      <c r="O46" s="328"/>
      <c r="P46" s="328"/>
      <c r="Q46" s="351">
        <f>SUM(E46:P46)</f>
        <v>91772.800000000017</v>
      </c>
    </row>
    <row r="47" spans="2:17">
      <c r="B47" s="555"/>
      <c r="C47" s="547"/>
      <c r="D47" s="329" t="s">
        <v>31</v>
      </c>
      <c r="E47" s="330"/>
      <c r="F47" s="330"/>
      <c r="G47" s="330"/>
      <c r="H47" s="330"/>
      <c r="I47" s="330">
        <f t="shared" ref="I47" si="84">I46/$D46</f>
        <v>0.16666666666666666</v>
      </c>
      <c r="J47" s="330">
        <f t="shared" ref="J47" si="85">J46/$D46</f>
        <v>0.16666666666666666</v>
      </c>
      <c r="K47" s="330">
        <f t="shared" ref="K47" si="86">K46/$D46</f>
        <v>0.16666666666666666</v>
      </c>
      <c r="L47" s="330">
        <f t="shared" ref="L47" si="87">L46/$D46</f>
        <v>0.16666666666666666</v>
      </c>
      <c r="M47" s="330">
        <f t="shared" ref="M47" si="88">M46/$D46</f>
        <v>0.16666666666666666</v>
      </c>
      <c r="N47" s="330">
        <f t="shared" ref="N47" si="89">N46/$D46</f>
        <v>0.16666666666666666</v>
      </c>
      <c r="O47" s="330"/>
      <c r="P47" s="330"/>
      <c r="Q47" s="352">
        <v>1</v>
      </c>
    </row>
    <row r="48" spans="2:17">
      <c r="B48" s="326" t="s">
        <v>114</v>
      </c>
      <c r="C48" s="546" t="str">
        <f>'Planilha Global'!E33</f>
        <v>Forma plana para estruturas, em compensado plastificado de 12mm, 12 usos, inclusive escoramento</v>
      </c>
      <c r="D48" s="327">
        <f>'Planilha Global'!L33</f>
        <v>220774.39999999999</v>
      </c>
      <c r="E48" s="328"/>
      <c r="F48" s="328"/>
      <c r="G48" s="328"/>
      <c r="H48" s="328"/>
      <c r="I48" s="328">
        <f>$D48/6</f>
        <v>36795.73333333333</v>
      </c>
      <c r="J48" s="328">
        <f t="shared" si="71"/>
        <v>36795.73333333333</v>
      </c>
      <c r="K48" s="328">
        <f t="shared" si="71"/>
        <v>36795.73333333333</v>
      </c>
      <c r="L48" s="328">
        <f t="shared" si="71"/>
        <v>36795.73333333333</v>
      </c>
      <c r="M48" s="328">
        <f t="shared" si="71"/>
        <v>36795.73333333333</v>
      </c>
      <c r="N48" s="328">
        <f t="shared" si="71"/>
        <v>36795.73333333333</v>
      </c>
      <c r="O48" s="328"/>
      <c r="P48" s="328"/>
      <c r="Q48" s="351">
        <f>SUM(E48:P48)</f>
        <v>220774.39999999999</v>
      </c>
    </row>
    <row r="49" spans="2:18">
      <c r="B49" s="339"/>
      <c r="C49" s="547"/>
      <c r="D49" s="329" t="s">
        <v>31</v>
      </c>
      <c r="E49" s="330"/>
      <c r="F49" s="330"/>
      <c r="G49" s="330"/>
      <c r="H49" s="330"/>
      <c r="I49" s="330">
        <f t="shared" ref="I49" si="90">I48/$D48</f>
        <v>0.16666666666666666</v>
      </c>
      <c r="J49" s="330">
        <f t="shared" ref="J49" si="91">J48/$D48</f>
        <v>0.16666666666666666</v>
      </c>
      <c r="K49" s="330">
        <f t="shared" ref="K49" si="92">K48/$D48</f>
        <v>0.16666666666666666</v>
      </c>
      <c r="L49" s="330">
        <f t="shared" ref="L49" si="93">L48/$D48</f>
        <v>0.16666666666666666</v>
      </c>
      <c r="M49" s="330">
        <f t="shared" ref="M49" si="94">M48/$D48</f>
        <v>0.16666666666666666</v>
      </c>
      <c r="N49" s="330">
        <f t="shared" ref="N49" si="95">N48/$D48</f>
        <v>0.16666666666666666</v>
      </c>
      <c r="O49" s="330"/>
      <c r="P49" s="330"/>
      <c r="Q49" s="352">
        <v>1</v>
      </c>
    </row>
    <row r="50" spans="2:18">
      <c r="B50" s="326" t="s">
        <v>117</v>
      </c>
      <c r="C50" s="546" t="str">
        <f>'Planilha Global'!E34</f>
        <v>Pedra argamassada com cimento e areia 1:3 - areia e pedra de mão comercial - fornecimento e assentamento</v>
      </c>
      <c r="D50" s="327">
        <f>'Planilha Global'!L34</f>
        <v>1461477.6</v>
      </c>
      <c r="E50" s="328"/>
      <c r="F50" s="328"/>
      <c r="G50" s="328"/>
      <c r="H50" s="328"/>
      <c r="I50" s="328">
        <f>$D50/6</f>
        <v>243579.6</v>
      </c>
      <c r="J50" s="328">
        <f t="shared" si="71"/>
        <v>243579.6</v>
      </c>
      <c r="K50" s="328">
        <f t="shared" si="71"/>
        <v>243579.6</v>
      </c>
      <c r="L50" s="328">
        <f t="shared" si="71"/>
        <v>243579.6</v>
      </c>
      <c r="M50" s="328">
        <f t="shared" si="71"/>
        <v>243579.6</v>
      </c>
      <c r="N50" s="328">
        <f t="shared" si="71"/>
        <v>243579.6</v>
      </c>
      <c r="O50" s="328"/>
      <c r="P50" s="328"/>
      <c r="Q50" s="351">
        <f>SUM(E50:P50)</f>
        <v>1461477.6</v>
      </c>
    </row>
    <row r="51" spans="2:18">
      <c r="B51" s="339"/>
      <c r="C51" s="547"/>
      <c r="D51" s="329" t="s">
        <v>31</v>
      </c>
      <c r="E51" s="330"/>
      <c r="F51" s="330"/>
      <c r="G51" s="330"/>
      <c r="H51" s="330"/>
      <c r="I51" s="330">
        <f t="shared" ref="I51" si="96">I50/$D50</f>
        <v>0.16666666666666666</v>
      </c>
      <c r="J51" s="330">
        <f t="shared" ref="J51" si="97">J50/$D50</f>
        <v>0.16666666666666666</v>
      </c>
      <c r="K51" s="330">
        <f t="shared" ref="K51" si="98">K50/$D50</f>
        <v>0.16666666666666666</v>
      </c>
      <c r="L51" s="330">
        <f t="shared" ref="L51" si="99">L50/$D50</f>
        <v>0.16666666666666666</v>
      </c>
      <c r="M51" s="330">
        <f t="shared" ref="M51" si="100">M50/$D50</f>
        <v>0.16666666666666666</v>
      </c>
      <c r="N51" s="330">
        <f t="shared" ref="N51" si="101">N50/$D50</f>
        <v>0.16666666666666666</v>
      </c>
      <c r="O51" s="330"/>
      <c r="P51" s="330"/>
      <c r="Q51" s="352">
        <v>1</v>
      </c>
    </row>
    <row r="52" spans="2:18" ht="12.75" customHeight="1">
      <c r="B52" s="552" t="s">
        <v>120</v>
      </c>
      <c r="C52" s="546" t="str">
        <f>'Planilha Global'!E35</f>
        <v>Armação em aço CA-50 - fornecimento, preparo e colocação.</v>
      </c>
      <c r="D52" s="327">
        <f>'Planilha Global'!L35</f>
        <v>638486.20000000007</v>
      </c>
      <c r="E52" s="328"/>
      <c r="F52" s="328"/>
      <c r="G52" s="328"/>
      <c r="H52" s="328"/>
      <c r="I52" s="328">
        <f>$D52/6</f>
        <v>106414.36666666668</v>
      </c>
      <c r="J52" s="328">
        <f t="shared" si="71"/>
        <v>106414.36666666668</v>
      </c>
      <c r="K52" s="328">
        <f t="shared" si="71"/>
        <v>106414.36666666668</v>
      </c>
      <c r="L52" s="328">
        <f t="shared" si="71"/>
        <v>106414.36666666668</v>
      </c>
      <c r="M52" s="328">
        <f t="shared" si="71"/>
        <v>106414.36666666668</v>
      </c>
      <c r="N52" s="328">
        <f t="shared" si="71"/>
        <v>106414.36666666668</v>
      </c>
      <c r="O52" s="328"/>
      <c r="P52" s="328"/>
      <c r="Q52" s="351">
        <f>SUM(E52:P52)</f>
        <v>638486.20000000007</v>
      </c>
    </row>
    <row r="53" spans="2:18">
      <c r="B53" s="555"/>
      <c r="C53" s="549"/>
      <c r="D53" s="329" t="s">
        <v>31</v>
      </c>
      <c r="E53" s="330"/>
      <c r="F53" s="330"/>
      <c r="G53" s="330"/>
      <c r="H53" s="330"/>
      <c r="I53" s="330">
        <f t="shared" ref="I53" si="102">I52/$D52</f>
        <v>0.16666666666666669</v>
      </c>
      <c r="J53" s="330">
        <f t="shared" ref="J53" si="103">J52/$D52</f>
        <v>0.16666666666666669</v>
      </c>
      <c r="K53" s="330">
        <f t="shared" ref="K53" si="104">K52/$D52</f>
        <v>0.16666666666666669</v>
      </c>
      <c r="L53" s="330">
        <f t="shared" ref="L53" si="105">L52/$D52</f>
        <v>0.16666666666666669</v>
      </c>
      <c r="M53" s="330">
        <f t="shared" ref="M53" si="106">M52/$D52</f>
        <v>0.16666666666666669</v>
      </c>
      <c r="N53" s="330">
        <f t="shared" ref="N53" si="107">N52/$D52</f>
        <v>0.16666666666666669</v>
      </c>
      <c r="O53" s="330"/>
      <c r="P53" s="330"/>
      <c r="Q53" s="352">
        <v>1</v>
      </c>
    </row>
    <row r="54" spans="2:18" ht="12.75" customHeight="1">
      <c r="B54" s="552" t="s">
        <v>124</v>
      </c>
      <c r="C54" s="546" t="str">
        <f>'Planilha Global'!E36</f>
        <v>Concreto fck = 20 MPa - confecção em betoneira e lançamento manual - areia e brita comerciais.</v>
      </c>
      <c r="D54" s="327">
        <f>'Planilha Global'!L36</f>
        <v>414518.39999999997</v>
      </c>
      <c r="E54" s="328"/>
      <c r="F54" s="328"/>
      <c r="G54" s="328"/>
      <c r="H54" s="328"/>
      <c r="I54" s="328">
        <f>$D54/6</f>
        <v>69086.399999999994</v>
      </c>
      <c r="J54" s="328">
        <f t="shared" si="71"/>
        <v>69086.399999999994</v>
      </c>
      <c r="K54" s="328">
        <f t="shared" si="71"/>
        <v>69086.399999999994</v>
      </c>
      <c r="L54" s="328">
        <f t="shared" si="71"/>
        <v>69086.399999999994</v>
      </c>
      <c r="M54" s="328">
        <f t="shared" si="71"/>
        <v>69086.399999999994</v>
      </c>
      <c r="N54" s="328">
        <f t="shared" si="71"/>
        <v>69086.399999999994</v>
      </c>
      <c r="O54" s="328"/>
      <c r="P54" s="328"/>
      <c r="Q54" s="351">
        <f>SUM(E54:P54)</f>
        <v>414518.4</v>
      </c>
    </row>
    <row r="55" spans="2:18">
      <c r="B55" s="555"/>
      <c r="C55" s="549"/>
      <c r="D55" s="329" t="s">
        <v>31</v>
      </c>
      <c r="E55" s="330"/>
      <c r="F55" s="330"/>
      <c r="G55" s="330"/>
      <c r="H55" s="330"/>
      <c r="I55" s="330">
        <f t="shared" ref="I55" si="108">I54/$D54</f>
        <v>0.16666666666666666</v>
      </c>
      <c r="J55" s="330">
        <f t="shared" ref="J55" si="109">J54/$D54</f>
        <v>0.16666666666666666</v>
      </c>
      <c r="K55" s="330">
        <f t="shared" ref="K55" si="110">K54/$D54</f>
        <v>0.16666666666666666</v>
      </c>
      <c r="L55" s="330">
        <f t="shared" ref="L55" si="111">L54/$D54</f>
        <v>0.16666666666666666</v>
      </c>
      <c r="M55" s="330">
        <f t="shared" ref="M55" si="112">M54/$D54</f>
        <v>0.16666666666666666</v>
      </c>
      <c r="N55" s="330">
        <f t="shared" ref="N55" si="113">N54/$D54</f>
        <v>0.16666666666666666</v>
      </c>
      <c r="O55" s="330"/>
      <c r="P55" s="330"/>
      <c r="Q55" s="352">
        <v>1</v>
      </c>
    </row>
    <row r="56" spans="2:18">
      <c r="B56" s="552" t="s">
        <v>127</v>
      </c>
      <c r="C56" s="546" t="str">
        <f>'Planilha Global'!E37</f>
        <v>Reaterro e compactação com soquete vibratório</v>
      </c>
      <c r="D56" s="327">
        <f>'Planilha Global'!L37</f>
        <v>28462</v>
      </c>
      <c r="E56" s="328"/>
      <c r="F56" s="328"/>
      <c r="G56" s="328"/>
      <c r="H56" s="328"/>
      <c r="I56" s="328">
        <f>$D56/6</f>
        <v>4743.666666666667</v>
      </c>
      <c r="J56" s="328">
        <f t="shared" si="71"/>
        <v>4743.666666666667</v>
      </c>
      <c r="K56" s="328">
        <f t="shared" si="71"/>
        <v>4743.666666666667</v>
      </c>
      <c r="L56" s="328">
        <f t="shared" si="71"/>
        <v>4743.666666666667</v>
      </c>
      <c r="M56" s="328">
        <f t="shared" si="71"/>
        <v>4743.666666666667</v>
      </c>
      <c r="N56" s="328">
        <f t="shared" si="71"/>
        <v>4743.666666666667</v>
      </c>
      <c r="O56" s="328"/>
      <c r="P56" s="328"/>
      <c r="Q56" s="351">
        <f>SUM(E56:P56)</f>
        <v>28462.000000000004</v>
      </c>
    </row>
    <row r="57" spans="2:18">
      <c r="B57" s="554"/>
      <c r="C57" s="550"/>
      <c r="D57" s="329" t="s">
        <v>31</v>
      </c>
      <c r="E57" s="330"/>
      <c r="F57" s="330"/>
      <c r="G57" s="330"/>
      <c r="H57" s="330"/>
      <c r="I57" s="330">
        <f t="shared" ref="I57" si="114">I56/$D56</f>
        <v>0.16666666666666669</v>
      </c>
      <c r="J57" s="330">
        <f t="shared" ref="J57" si="115">J56/$D56</f>
        <v>0.16666666666666669</v>
      </c>
      <c r="K57" s="330">
        <f t="shared" ref="K57" si="116">K56/$D56</f>
        <v>0.16666666666666669</v>
      </c>
      <c r="L57" s="330">
        <f t="shared" ref="L57" si="117">L56/$D56</f>
        <v>0.16666666666666669</v>
      </c>
      <c r="M57" s="330">
        <f t="shared" ref="M57" si="118">M56/$D56</f>
        <v>0.16666666666666669</v>
      </c>
      <c r="N57" s="330">
        <f t="shared" ref="N57" si="119">N56/$D56</f>
        <v>0.16666666666666669</v>
      </c>
      <c r="O57" s="330"/>
      <c r="P57" s="330"/>
      <c r="Q57" s="352">
        <v>1</v>
      </c>
    </row>
    <row r="58" spans="2:18">
      <c r="B58" s="552" t="s">
        <v>34</v>
      </c>
      <c r="C58" s="546" t="str">
        <f>'Planilha Global'!E38</f>
        <v>Tratamento de junta serrada, com tarugo de polietileno e selante à base de silicone</v>
      </c>
      <c r="D58" s="327">
        <f>'Planilha Global'!L38</f>
        <v>54222</v>
      </c>
      <c r="E58" s="328"/>
      <c r="F58" s="328"/>
      <c r="G58" s="328"/>
      <c r="H58" s="328"/>
      <c r="I58" s="328">
        <f>$D58/6</f>
        <v>9037</v>
      </c>
      <c r="J58" s="328">
        <f t="shared" si="71"/>
        <v>9037</v>
      </c>
      <c r="K58" s="328">
        <f t="shared" si="71"/>
        <v>9037</v>
      </c>
      <c r="L58" s="328">
        <f t="shared" si="71"/>
        <v>9037</v>
      </c>
      <c r="M58" s="328">
        <f t="shared" si="71"/>
        <v>9037</v>
      </c>
      <c r="N58" s="328">
        <f t="shared" si="71"/>
        <v>9037</v>
      </c>
      <c r="O58" s="328"/>
      <c r="P58" s="328"/>
      <c r="Q58" s="351">
        <f>SUM(E58:P58)</f>
        <v>54222</v>
      </c>
    </row>
    <row r="59" spans="2:18" ht="15" customHeight="1">
      <c r="B59" s="553"/>
      <c r="C59" s="551"/>
      <c r="D59" s="333" t="s">
        <v>31</v>
      </c>
      <c r="E59" s="334"/>
      <c r="F59" s="334"/>
      <c r="G59" s="334"/>
      <c r="H59" s="334"/>
      <c r="I59" s="334">
        <f t="shared" ref="I59" si="120">I58/$D58</f>
        <v>0.16666666666666666</v>
      </c>
      <c r="J59" s="334">
        <f t="shared" ref="J59" si="121">J58/$D58</f>
        <v>0.16666666666666666</v>
      </c>
      <c r="K59" s="334">
        <f t="shared" ref="K59" si="122">K58/$D58</f>
        <v>0.16666666666666666</v>
      </c>
      <c r="L59" s="334">
        <f t="shared" ref="L59" si="123">L58/$D58</f>
        <v>0.16666666666666666</v>
      </c>
      <c r="M59" s="334">
        <f t="shared" ref="M59" si="124">M58/$D58</f>
        <v>0.16666666666666666</v>
      </c>
      <c r="N59" s="334">
        <f t="shared" ref="N59" si="125">N58/$D58</f>
        <v>0.16666666666666666</v>
      </c>
      <c r="O59" s="334"/>
      <c r="P59" s="334"/>
      <c r="Q59" s="353">
        <v>1</v>
      </c>
    </row>
    <row r="60" spans="2:18" ht="15" customHeight="1">
      <c r="B60" s="340"/>
      <c r="C60" s="341"/>
      <c r="D60" s="342"/>
      <c r="E60" s="343"/>
      <c r="F60" s="343"/>
      <c r="G60" s="343"/>
      <c r="H60" s="343"/>
      <c r="I60" s="343"/>
      <c r="J60" s="343"/>
      <c r="K60" s="343"/>
      <c r="L60" s="343"/>
      <c r="M60" s="343"/>
      <c r="N60" s="343"/>
      <c r="O60" s="343"/>
      <c r="P60" s="343"/>
      <c r="Q60" s="355"/>
      <c r="R60" s="92"/>
    </row>
    <row r="61" spans="2:18" ht="15" customHeight="1">
      <c r="B61" s="321">
        <v>4</v>
      </c>
      <c r="C61" s="322" t="s">
        <v>132</v>
      </c>
      <c r="D61" s="323" t="s">
        <v>149</v>
      </c>
      <c r="E61" s="324" t="s">
        <v>150</v>
      </c>
      <c r="F61" s="325" t="s">
        <v>151</v>
      </c>
      <c r="G61" s="324" t="s">
        <v>152</v>
      </c>
      <c r="H61" s="324" t="s">
        <v>153</v>
      </c>
      <c r="I61" s="324" t="s">
        <v>154</v>
      </c>
      <c r="J61" s="324" t="s">
        <v>155</v>
      </c>
      <c r="K61" s="324" t="s">
        <v>156</v>
      </c>
      <c r="L61" s="324" t="s">
        <v>157</v>
      </c>
      <c r="M61" s="324" t="s">
        <v>158</v>
      </c>
      <c r="N61" s="324" t="s">
        <v>159</v>
      </c>
      <c r="O61" s="324" t="s">
        <v>160</v>
      </c>
      <c r="P61" s="324" t="s">
        <v>161</v>
      </c>
      <c r="Q61" s="350" t="s">
        <v>162</v>
      </c>
      <c r="R61" s="92"/>
    </row>
    <row r="62" spans="2:18" ht="15" customHeight="1">
      <c r="B62" s="552" t="s">
        <v>36</v>
      </c>
      <c r="C62" s="546" t="str">
        <f>'Planilha Global'!E41</f>
        <v>Meio-fio de concreto - MFC 04 - areia e brita comerciais - fôrma de madeira</v>
      </c>
      <c r="D62" s="327">
        <f>'Planilha Global'!L41</f>
        <v>100724.40000000001</v>
      </c>
      <c r="E62" s="328"/>
      <c r="F62" s="328"/>
      <c r="G62" s="328"/>
      <c r="H62" s="328"/>
      <c r="I62" s="328"/>
      <c r="J62" s="328"/>
      <c r="K62" s="328">
        <f>$D62/6</f>
        <v>16787.400000000001</v>
      </c>
      <c r="L62" s="328">
        <f t="shared" ref="L62:P68" si="126">$D62/6</f>
        <v>16787.400000000001</v>
      </c>
      <c r="M62" s="328">
        <f t="shared" si="126"/>
        <v>16787.400000000001</v>
      </c>
      <c r="N62" s="328">
        <f t="shared" si="126"/>
        <v>16787.400000000001</v>
      </c>
      <c r="O62" s="328">
        <f t="shared" si="126"/>
        <v>16787.400000000001</v>
      </c>
      <c r="P62" s="328">
        <f t="shared" si="126"/>
        <v>16787.400000000001</v>
      </c>
      <c r="Q62" s="351">
        <f>SUM(E62:P62)</f>
        <v>100724.4</v>
      </c>
      <c r="R62" s="92"/>
    </row>
    <row r="63" spans="2:18" ht="15" customHeight="1">
      <c r="B63" s="555"/>
      <c r="C63" s="547"/>
      <c r="D63" s="329" t="s">
        <v>31</v>
      </c>
      <c r="E63" s="330"/>
      <c r="F63" s="330"/>
      <c r="G63" s="330"/>
      <c r="H63" s="330"/>
      <c r="I63" s="330"/>
      <c r="J63" s="330"/>
      <c r="K63" s="330">
        <f t="shared" ref="K63" si="127">K62/$D62</f>
        <v>0.16666666666666666</v>
      </c>
      <c r="L63" s="330">
        <f t="shared" ref="L63" si="128">L62/$D62</f>
        <v>0.16666666666666666</v>
      </c>
      <c r="M63" s="330">
        <f t="shared" ref="M63" si="129">M62/$D62</f>
        <v>0.16666666666666666</v>
      </c>
      <c r="N63" s="330">
        <f t="shared" ref="N63" si="130">N62/$D62</f>
        <v>0.16666666666666666</v>
      </c>
      <c r="O63" s="330">
        <f t="shared" ref="O63" si="131">O62/$D62</f>
        <v>0.16666666666666666</v>
      </c>
      <c r="P63" s="330">
        <f t="shared" ref="P63" si="132">P62/$D62</f>
        <v>0.16666666666666666</v>
      </c>
      <c r="Q63" s="352">
        <v>1</v>
      </c>
      <c r="R63" s="92"/>
    </row>
    <row r="64" spans="2:18" ht="15" customHeight="1">
      <c r="B64" s="552" t="s">
        <v>37</v>
      </c>
      <c r="C64" s="546" t="str">
        <f>'Planilha Global'!E42</f>
        <v>Pintura de meio-fio com tinta branca a base de cal (caiação).</v>
      </c>
      <c r="D64" s="327">
        <f>'Planilha Global'!L42</f>
        <v>1954.6000000000001</v>
      </c>
      <c r="E64" s="328"/>
      <c r="F64" s="328"/>
      <c r="G64" s="328"/>
      <c r="H64" s="328"/>
      <c r="I64" s="328"/>
      <c r="J64" s="328"/>
      <c r="K64" s="328">
        <f>$D64/6</f>
        <v>325.76666666666671</v>
      </c>
      <c r="L64" s="328">
        <f t="shared" si="126"/>
        <v>325.76666666666671</v>
      </c>
      <c r="M64" s="328">
        <f t="shared" si="126"/>
        <v>325.76666666666671</v>
      </c>
      <c r="N64" s="328">
        <f t="shared" si="126"/>
        <v>325.76666666666671</v>
      </c>
      <c r="O64" s="328">
        <f t="shared" si="126"/>
        <v>325.76666666666671</v>
      </c>
      <c r="P64" s="328">
        <f t="shared" si="126"/>
        <v>325.76666666666671</v>
      </c>
      <c r="Q64" s="351">
        <f>SUM(E64:P64)</f>
        <v>1954.6000000000001</v>
      </c>
      <c r="R64" s="92"/>
    </row>
    <row r="65" spans="2:18" ht="15" customHeight="1">
      <c r="B65" s="555"/>
      <c r="C65" s="547"/>
      <c r="D65" s="329" t="s">
        <v>31</v>
      </c>
      <c r="E65" s="330"/>
      <c r="F65" s="330"/>
      <c r="G65" s="330"/>
      <c r="H65" s="330"/>
      <c r="I65" s="330"/>
      <c r="J65" s="330"/>
      <c r="K65" s="330">
        <f t="shared" ref="K65" si="133">K64/$D64</f>
        <v>0.16666666666666669</v>
      </c>
      <c r="L65" s="330">
        <f t="shared" ref="L65" si="134">L64/$D64</f>
        <v>0.16666666666666669</v>
      </c>
      <c r="M65" s="330">
        <f t="shared" ref="M65" si="135">M64/$D64</f>
        <v>0.16666666666666669</v>
      </c>
      <c r="N65" s="330">
        <f t="shared" ref="N65" si="136">N64/$D64</f>
        <v>0.16666666666666669</v>
      </c>
      <c r="O65" s="330">
        <f t="shared" ref="O65" si="137">O64/$D64</f>
        <v>0.16666666666666669</v>
      </c>
      <c r="P65" s="330">
        <f t="shared" ref="P65" si="138">P64/$D64</f>
        <v>0.16666666666666669</v>
      </c>
      <c r="Q65" s="352">
        <v>1</v>
      </c>
      <c r="R65" s="92"/>
    </row>
    <row r="66" spans="2:18" ht="15" customHeight="1">
      <c r="B66" s="552" t="s">
        <v>38</v>
      </c>
      <c r="C66" s="546" t="str">
        <f>'Planilha Global'!E43</f>
        <v>Suporte metálico galvanizado para placa de advertência ou regulamentação - lado ou diâmetro de 0,60 m - fornecimento e implantação</v>
      </c>
      <c r="D66" s="327">
        <f>'Planilha Global'!L43</f>
        <v>27110</v>
      </c>
      <c r="E66" s="328"/>
      <c r="F66" s="328"/>
      <c r="G66" s="328"/>
      <c r="H66" s="328"/>
      <c r="I66" s="328"/>
      <c r="J66" s="328"/>
      <c r="K66" s="328">
        <f>$D66/6</f>
        <v>4518.333333333333</v>
      </c>
      <c r="L66" s="328">
        <f t="shared" si="126"/>
        <v>4518.333333333333</v>
      </c>
      <c r="M66" s="328">
        <f t="shared" si="126"/>
        <v>4518.333333333333</v>
      </c>
      <c r="N66" s="328">
        <f t="shared" si="126"/>
        <v>4518.333333333333</v>
      </c>
      <c r="O66" s="328">
        <f t="shared" si="126"/>
        <v>4518.333333333333</v>
      </c>
      <c r="P66" s="328">
        <f t="shared" si="126"/>
        <v>4518.333333333333</v>
      </c>
      <c r="Q66" s="351">
        <f>SUM(E66:P66)</f>
        <v>27109.999999999996</v>
      </c>
      <c r="R66" s="92"/>
    </row>
    <row r="67" spans="2:18" ht="15" customHeight="1">
      <c r="B67" s="555"/>
      <c r="C67" s="547"/>
      <c r="D67" s="329" t="s">
        <v>31</v>
      </c>
      <c r="E67" s="330"/>
      <c r="F67" s="330"/>
      <c r="G67" s="330"/>
      <c r="H67" s="330"/>
      <c r="I67" s="330"/>
      <c r="J67" s="330"/>
      <c r="K67" s="330">
        <f t="shared" ref="K67" si="139">K66/$D66</f>
        <v>0.16666666666666666</v>
      </c>
      <c r="L67" s="330">
        <f t="shared" ref="L67" si="140">L66/$D66</f>
        <v>0.16666666666666666</v>
      </c>
      <c r="M67" s="330">
        <f t="shared" ref="M67" si="141">M66/$D66</f>
        <v>0.16666666666666666</v>
      </c>
      <c r="N67" s="330">
        <f t="shared" ref="N67" si="142">N66/$D66</f>
        <v>0.16666666666666666</v>
      </c>
      <c r="O67" s="330">
        <f t="shared" ref="O67" si="143">O66/$D66</f>
        <v>0.16666666666666666</v>
      </c>
      <c r="P67" s="330">
        <f t="shared" ref="P67" si="144">P66/$D66</f>
        <v>0.16666666666666666</v>
      </c>
      <c r="Q67" s="352">
        <v>1</v>
      </c>
      <c r="R67" s="92"/>
    </row>
    <row r="68" spans="2:18" ht="15" customHeight="1">
      <c r="B68" s="552" t="s">
        <v>39</v>
      </c>
      <c r="C68" s="546" t="str">
        <f>'Planilha Global'!E44</f>
        <v>Placa de regulamentação em aço D = 0,60 m - película retrorrefletiva tipo I + SI - fornecimento e implantação</v>
      </c>
      <c r="D68" s="327">
        <f>'Planilha Global'!L44</f>
        <v>14652</v>
      </c>
      <c r="E68" s="328"/>
      <c r="F68" s="328"/>
      <c r="G68" s="328"/>
      <c r="H68" s="328"/>
      <c r="I68" s="328"/>
      <c r="J68" s="328"/>
      <c r="K68" s="328">
        <f>$D68/6</f>
        <v>2442</v>
      </c>
      <c r="L68" s="328">
        <f t="shared" si="126"/>
        <v>2442</v>
      </c>
      <c r="M68" s="328">
        <f t="shared" si="126"/>
        <v>2442</v>
      </c>
      <c r="N68" s="328">
        <f t="shared" si="126"/>
        <v>2442</v>
      </c>
      <c r="O68" s="328">
        <f t="shared" si="126"/>
        <v>2442</v>
      </c>
      <c r="P68" s="328">
        <f t="shared" si="126"/>
        <v>2442</v>
      </c>
      <c r="Q68" s="351">
        <f>SUM(E68:P68)</f>
        <v>14652</v>
      </c>
      <c r="R68" s="92"/>
    </row>
    <row r="69" spans="2:18" ht="15" customHeight="1">
      <c r="B69" s="553"/>
      <c r="C69" s="548"/>
      <c r="D69" s="333" t="s">
        <v>31</v>
      </c>
      <c r="E69" s="334"/>
      <c r="F69" s="334"/>
      <c r="G69" s="334"/>
      <c r="H69" s="334"/>
      <c r="I69" s="334"/>
      <c r="J69" s="334"/>
      <c r="K69" s="334">
        <f t="shared" ref="K69" si="145">K68/$D68</f>
        <v>0.16666666666666666</v>
      </c>
      <c r="L69" s="334">
        <f t="shared" ref="L69" si="146">L68/$D68</f>
        <v>0.16666666666666666</v>
      </c>
      <c r="M69" s="334">
        <f t="shared" ref="M69" si="147">M68/$D68</f>
        <v>0.16666666666666666</v>
      </c>
      <c r="N69" s="334">
        <f t="shared" ref="N69" si="148">N68/$D68</f>
        <v>0.16666666666666666</v>
      </c>
      <c r="O69" s="334">
        <f t="shared" ref="O69" si="149">O68/$D68</f>
        <v>0.16666666666666666</v>
      </c>
      <c r="P69" s="334">
        <f t="shared" ref="P69" si="150">P68/$D68</f>
        <v>0.16666666666666666</v>
      </c>
      <c r="Q69" s="353">
        <v>1</v>
      </c>
      <c r="R69" s="92"/>
    </row>
    <row r="70" spans="2:18" ht="15" customHeight="1">
      <c r="B70" s="340"/>
      <c r="C70" s="341"/>
      <c r="D70" s="342"/>
      <c r="E70" s="343"/>
      <c r="F70" s="343"/>
      <c r="G70" s="343"/>
      <c r="H70" s="343"/>
      <c r="I70" s="343"/>
      <c r="J70" s="343"/>
      <c r="K70" s="343"/>
      <c r="L70" s="343"/>
      <c r="M70" s="343"/>
      <c r="N70" s="343"/>
      <c r="O70" s="343"/>
      <c r="P70" s="343"/>
      <c r="Q70" s="355"/>
      <c r="R70" s="92"/>
    </row>
    <row r="71" spans="2:18" ht="15" customHeight="1">
      <c r="B71" s="321">
        <v>5</v>
      </c>
      <c r="C71" s="322" t="s">
        <v>142</v>
      </c>
      <c r="D71" s="323" t="s">
        <v>149</v>
      </c>
      <c r="E71" s="324" t="s">
        <v>150</v>
      </c>
      <c r="F71" s="325" t="s">
        <v>151</v>
      </c>
      <c r="G71" s="324" t="s">
        <v>152</v>
      </c>
      <c r="H71" s="324" t="s">
        <v>153</v>
      </c>
      <c r="I71" s="324" t="s">
        <v>154</v>
      </c>
      <c r="J71" s="324" t="s">
        <v>155</v>
      </c>
      <c r="K71" s="324" t="s">
        <v>156</v>
      </c>
      <c r="L71" s="324" t="s">
        <v>157</v>
      </c>
      <c r="M71" s="324" t="s">
        <v>158</v>
      </c>
      <c r="N71" s="324" t="s">
        <v>159</v>
      </c>
      <c r="O71" s="324" t="s">
        <v>160</v>
      </c>
      <c r="P71" s="324" t="s">
        <v>161</v>
      </c>
      <c r="Q71" s="350" t="s">
        <v>162</v>
      </c>
      <c r="R71" s="92"/>
    </row>
    <row r="72" spans="2:18" ht="15" customHeight="1">
      <c r="B72" s="552" t="s">
        <v>143</v>
      </c>
      <c r="C72" s="546" t="str">
        <f>'Planilha Global'!E47</f>
        <v>Elaboração de Projeto Executivo</v>
      </c>
      <c r="D72" s="327">
        <f>'Planilha Global'!L47</f>
        <v>101664</v>
      </c>
      <c r="E72" s="328">
        <f>$D72/2</f>
        <v>50832</v>
      </c>
      <c r="F72" s="328">
        <f>$D72/2</f>
        <v>50832</v>
      </c>
      <c r="G72" s="328"/>
      <c r="H72" s="328"/>
      <c r="I72" s="328"/>
      <c r="J72" s="328"/>
      <c r="K72" s="328"/>
      <c r="L72" s="328"/>
      <c r="M72" s="328"/>
      <c r="N72" s="328"/>
      <c r="O72" s="328"/>
      <c r="P72" s="328"/>
      <c r="Q72" s="351">
        <f>SUM(E72:P72)</f>
        <v>101664</v>
      </c>
      <c r="R72" s="92"/>
    </row>
    <row r="73" spans="2:18" ht="15" customHeight="1">
      <c r="B73" s="553"/>
      <c r="C73" s="548"/>
      <c r="D73" s="333" t="s">
        <v>31</v>
      </c>
      <c r="E73" s="334">
        <v>0.5</v>
      </c>
      <c r="F73" s="334">
        <v>0.5</v>
      </c>
      <c r="G73" s="334"/>
      <c r="H73" s="334"/>
      <c r="I73" s="334"/>
      <c r="J73" s="334"/>
      <c r="K73" s="334"/>
      <c r="L73" s="334"/>
      <c r="M73" s="334"/>
      <c r="N73" s="334"/>
      <c r="O73" s="334"/>
      <c r="P73" s="334"/>
      <c r="Q73" s="353">
        <v>1</v>
      </c>
      <c r="R73" s="92"/>
    </row>
    <row r="74" spans="2:18" ht="15" customHeight="1">
      <c r="B74" s="340"/>
      <c r="C74" s="341"/>
      <c r="D74" s="342"/>
      <c r="E74" s="343"/>
      <c r="F74" s="343"/>
      <c r="G74" s="343"/>
      <c r="H74" s="343"/>
      <c r="I74" s="343"/>
      <c r="J74" s="343"/>
      <c r="K74" s="343"/>
      <c r="L74" s="343"/>
      <c r="M74" s="343"/>
      <c r="N74" s="343"/>
      <c r="O74" s="343"/>
      <c r="P74" s="343"/>
      <c r="Q74" s="355"/>
      <c r="R74" s="92"/>
    </row>
    <row r="75" spans="2:18" ht="15.75">
      <c r="B75" s="356"/>
      <c r="C75" s="357"/>
      <c r="D75" s="337"/>
      <c r="E75" s="320"/>
      <c r="F75" s="320"/>
      <c r="G75" s="320"/>
      <c r="H75" s="320"/>
      <c r="I75" s="320"/>
      <c r="J75" s="320"/>
      <c r="K75" s="320"/>
      <c r="L75" s="320"/>
      <c r="M75" s="320"/>
      <c r="N75" s="320"/>
      <c r="O75" s="320"/>
      <c r="P75" s="371"/>
      <c r="Q75" s="373"/>
    </row>
    <row r="76" spans="2:18" ht="18">
      <c r="B76" s="356"/>
      <c r="C76" s="358" t="s">
        <v>164</v>
      </c>
      <c r="D76" s="359">
        <f>D8+D10+D12+D14+D16+D18+D20+D22+D26+D28+D30+D32+D34+D36+D38+D42+D44+D46+D48+D50+D52+D54+D56+D58+D62+D64+D66+D68+D72</f>
        <v>4879500.8000000007</v>
      </c>
      <c r="E76" s="320"/>
      <c r="F76" s="320"/>
      <c r="G76" s="320"/>
      <c r="H76" s="320"/>
      <c r="I76" s="320"/>
      <c r="J76" s="320"/>
      <c r="K76" s="320"/>
      <c r="L76" s="320"/>
      <c r="M76" s="320"/>
      <c r="N76" s="320"/>
      <c r="O76" s="320"/>
      <c r="P76" s="372" t="s">
        <v>164</v>
      </c>
      <c r="Q76" s="374">
        <v>4862941.17</v>
      </c>
    </row>
    <row r="77" spans="2:18">
      <c r="B77" s="356"/>
      <c r="C77" s="357"/>
      <c r="D77" s="337"/>
      <c r="E77" s="320"/>
      <c r="F77" s="320"/>
      <c r="G77" s="320"/>
      <c r="H77" s="320"/>
      <c r="I77" s="320"/>
      <c r="J77" s="320"/>
      <c r="K77" s="320"/>
      <c r="L77" s="320"/>
      <c r="M77" s="320"/>
      <c r="N77" s="320"/>
      <c r="O77" s="320"/>
      <c r="P77" s="320"/>
      <c r="Q77" s="349"/>
    </row>
    <row r="78" spans="2:18">
      <c r="B78" s="356"/>
      <c r="C78" s="357"/>
      <c r="D78" s="337"/>
      <c r="E78" s="320"/>
      <c r="F78" s="320"/>
      <c r="G78" s="320"/>
      <c r="H78" s="320"/>
      <c r="I78" s="320"/>
      <c r="J78" s="320"/>
      <c r="K78" s="320"/>
      <c r="L78" s="320"/>
      <c r="M78" s="320"/>
      <c r="N78" s="320"/>
      <c r="O78" s="320"/>
      <c r="P78" s="320"/>
      <c r="Q78" s="349"/>
    </row>
    <row r="79" spans="2:18">
      <c r="B79" s="356"/>
      <c r="C79" s="360"/>
      <c r="D79" s="361" t="s">
        <v>165</v>
      </c>
      <c r="E79" s="362">
        <v>94062.664999999994</v>
      </c>
      <c r="F79" s="362">
        <v>140226.99</v>
      </c>
      <c r="G79" s="362">
        <v>782041.8</v>
      </c>
      <c r="H79" s="362">
        <v>160503.51</v>
      </c>
      <c r="I79" s="362">
        <v>782041.8</v>
      </c>
      <c r="J79" s="362">
        <v>234289.655</v>
      </c>
      <c r="K79" s="362">
        <v>782041.8</v>
      </c>
      <c r="L79" s="362">
        <v>160503.51</v>
      </c>
      <c r="M79" s="362">
        <v>782041.8</v>
      </c>
      <c r="N79" s="362">
        <v>160503.51</v>
      </c>
      <c r="O79" s="362">
        <v>761765.28</v>
      </c>
      <c r="P79" s="362">
        <v>22918.85</v>
      </c>
      <c r="Q79" s="375"/>
    </row>
    <row r="80" spans="2:18">
      <c r="B80" s="356"/>
      <c r="C80" s="360"/>
      <c r="D80" s="361" t="s">
        <v>166</v>
      </c>
      <c r="E80" s="363">
        <v>1.93427519913838E-2</v>
      </c>
      <c r="F80" s="363">
        <v>2.8835839278721902E-2</v>
      </c>
      <c r="G80" s="363">
        <v>0.16081662776932201</v>
      </c>
      <c r="H80" s="363">
        <v>3.3005439381040301E-2</v>
      </c>
      <c r="I80" s="363">
        <v>0.16081662776932201</v>
      </c>
      <c r="J80" s="363">
        <v>4.8178591270105799E-2</v>
      </c>
      <c r="K80" s="363">
        <v>0.16081662776932201</v>
      </c>
      <c r="L80" s="363">
        <v>3.3005439381040301E-2</v>
      </c>
      <c r="M80" s="363">
        <v>0.16081662776932201</v>
      </c>
      <c r="N80" s="363">
        <v>3.3005439381040301E-2</v>
      </c>
      <c r="O80" s="363">
        <v>0.156647027667003</v>
      </c>
      <c r="P80" s="363">
        <v>4.7129605723772302E-3</v>
      </c>
      <c r="Q80" s="376"/>
    </row>
    <row r="81" spans="2:17">
      <c r="B81" s="356"/>
      <c r="C81" s="364"/>
      <c r="D81" s="365" t="s">
        <v>167</v>
      </c>
      <c r="E81" s="366">
        <v>94062.664999999994</v>
      </c>
      <c r="F81" s="366">
        <v>234289.655</v>
      </c>
      <c r="G81" s="366">
        <v>1016331.455</v>
      </c>
      <c r="H81" s="366">
        <v>1176834.9650000001</v>
      </c>
      <c r="I81" s="366">
        <v>1958876.7649999999</v>
      </c>
      <c r="J81" s="366">
        <v>2193166.42</v>
      </c>
      <c r="K81" s="366">
        <v>2975208.22</v>
      </c>
      <c r="L81" s="366">
        <v>3135711.73</v>
      </c>
      <c r="M81" s="366">
        <v>3917753.53</v>
      </c>
      <c r="N81" s="366">
        <v>4078257.04</v>
      </c>
      <c r="O81" s="366">
        <v>4840022.32</v>
      </c>
      <c r="P81" s="366">
        <v>4862941.17</v>
      </c>
      <c r="Q81" s="377"/>
    </row>
    <row r="82" spans="2:17">
      <c r="B82" s="367"/>
      <c r="C82" s="364"/>
      <c r="D82" s="365" t="s">
        <v>168</v>
      </c>
      <c r="E82" s="368">
        <v>1.93427519913838E-2</v>
      </c>
      <c r="F82" s="368">
        <v>4.8178591270105799E-2</v>
      </c>
      <c r="G82" s="368">
        <v>0.208995219039428</v>
      </c>
      <c r="H82" s="368">
        <v>0.242000658420468</v>
      </c>
      <c r="I82" s="368">
        <v>0.40281728618979001</v>
      </c>
      <c r="J82" s="368">
        <v>0.450995877459895</v>
      </c>
      <c r="K82" s="368">
        <v>0.61181250522921704</v>
      </c>
      <c r="L82" s="368">
        <v>0.64481794461025699</v>
      </c>
      <c r="M82" s="368">
        <v>0.80563457237957903</v>
      </c>
      <c r="N82" s="368">
        <v>0.83864001176061898</v>
      </c>
      <c r="O82" s="368">
        <v>0.99528703942762298</v>
      </c>
      <c r="P82" s="368">
        <v>1</v>
      </c>
      <c r="Q82" s="378"/>
    </row>
    <row r="83" spans="2:17" ht="18">
      <c r="B83" s="369"/>
      <c r="C83" s="332"/>
      <c r="D83" s="289"/>
      <c r="E83" s="370"/>
      <c r="F83" s="370"/>
      <c r="G83" s="370"/>
      <c r="H83" s="370"/>
      <c r="I83" s="370"/>
      <c r="J83" s="370"/>
      <c r="K83" s="370"/>
      <c r="L83" s="370"/>
      <c r="M83" s="370"/>
      <c r="N83" s="370"/>
      <c r="O83" s="370"/>
      <c r="P83" s="370"/>
      <c r="Q83" s="379"/>
    </row>
  </sheetData>
  <mergeCells count="57">
    <mergeCell ref="B5:Q5"/>
    <mergeCell ref="B8:B9"/>
    <mergeCell ref="B10:B11"/>
    <mergeCell ref="B12:B13"/>
    <mergeCell ref="B14:B15"/>
    <mergeCell ref="B16:B17"/>
    <mergeCell ref="B18:B19"/>
    <mergeCell ref="B20:B21"/>
    <mergeCell ref="B22:B23"/>
    <mergeCell ref="B26:B27"/>
    <mergeCell ref="B44:B45"/>
    <mergeCell ref="B46:B47"/>
    <mergeCell ref="B52:B53"/>
    <mergeCell ref="B54:B55"/>
    <mergeCell ref="B28:B29"/>
    <mergeCell ref="B30:B31"/>
    <mergeCell ref="B34:B35"/>
    <mergeCell ref="B36:B37"/>
    <mergeCell ref="B38:B39"/>
    <mergeCell ref="B72:B73"/>
    <mergeCell ref="C8:C9"/>
    <mergeCell ref="C10:C11"/>
    <mergeCell ref="C12:C13"/>
    <mergeCell ref="C14:C15"/>
    <mergeCell ref="C16:C17"/>
    <mergeCell ref="C18:C19"/>
    <mergeCell ref="C20:C21"/>
    <mergeCell ref="C22:C23"/>
    <mergeCell ref="C26:C27"/>
    <mergeCell ref="C28:C29"/>
    <mergeCell ref="C30:C31"/>
    <mergeCell ref="C32:C33"/>
    <mergeCell ref="C34:C35"/>
    <mergeCell ref="C36:C37"/>
    <mergeCell ref="B56:B57"/>
    <mergeCell ref="C72:C73"/>
    <mergeCell ref="C50:C51"/>
    <mergeCell ref="C52:C53"/>
    <mergeCell ref="C54:C55"/>
    <mergeCell ref="C56:C57"/>
    <mergeCell ref="C58:C59"/>
    <mergeCell ref="B2:O3"/>
    <mergeCell ref="C62:C63"/>
    <mergeCell ref="C64:C65"/>
    <mergeCell ref="C66:C67"/>
    <mergeCell ref="C68:C69"/>
    <mergeCell ref="C38:C39"/>
    <mergeCell ref="C42:C43"/>
    <mergeCell ref="C44:C45"/>
    <mergeCell ref="C46:C47"/>
    <mergeCell ref="C48:C49"/>
    <mergeCell ref="B68:B69"/>
    <mergeCell ref="B58:B59"/>
    <mergeCell ref="B62:B63"/>
    <mergeCell ref="B64:B65"/>
    <mergeCell ref="B66:B67"/>
    <mergeCell ref="B42:B43"/>
  </mergeCells>
  <pageMargins left="0.39370078740157499" right="0.39370078740157499" top="0.39370078740157499" bottom="0.39370078740157499" header="0.31496062992126" footer="0.31496062992126"/>
  <pageSetup paperSize="9" scale="36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4506668294322"/>
    <pageSetUpPr fitToPage="1"/>
  </sheetPr>
  <dimension ref="B1:I40"/>
  <sheetViews>
    <sheetView view="pageBreakPreview" topLeftCell="A23" zoomScaleNormal="100" workbookViewId="0">
      <selection activeCell="J17" sqref="J17"/>
    </sheetView>
  </sheetViews>
  <sheetFormatPr defaultColWidth="9" defaultRowHeight="12.75"/>
  <cols>
    <col min="1" max="1" width="3.42578125" customWidth="1"/>
    <col min="2" max="2" width="13.28515625" customWidth="1"/>
    <col min="3" max="4" width="10.85546875" customWidth="1"/>
    <col min="5" max="5" width="52.7109375" customWidth="1"/>
    <col min="6" max="6" width="7.42578125" customWidth="1"/>
    <col min="7" max="7" width="17.28515625" customWidth="1"/>
    <col min="8" max="8" width="19.7109375" customWidth="1"/>
    <col min="9" max="9" width="17" customWidth="1"/>
    <col min="258" max="260" width="13.28515625" customWidth="1"/>
    <col min="261" max="261" width="52.7109375" customWidth="1"/>
    <col min="263" max="263" width="17.28515625" customWidth="1"/>
    <col min="264" max="264" width="19.7109375" customWidth="1"/>
    <col min="265" max="265" width="19.42578125" customWidth="1"/>
    <col min="514" max="516" width="13.28515625" customWidth="1"/>
    <col min="517" max="517" width="52.7109375" customWidth="1"/>
    <col min="519" max="519" width="17.28515625" customWidth="1"/>
    <col min="520" max="520" width="19.7109375" customWidth="1"/>
    <col min="521" max="521" width="19.42578125" customWidth="1"/>
    <col min="770" max="772" width="13.28515625" customWidth="1"/>
    <col min="773" max="773" width="52.7109375" customWidth="1"/>
    <col min="775" max="775" width="17.28515625" customWidth="1"/>
    <col min="776" max="776" width="19.7109375" customWidth="1"/>
    <col min="777" max="777" width="19.42578125" customWidth="1"/>
    <col min="1026" max="1028" width="13.28515625" customWidth="1"/>
    <col min="1029" max="1029" width="52.7109375" customWidth="1"/>
    <col min="1031" max="1031" width="17.28515625" customWidth="1"/>
    <col min="1032" max="1032" width="19.7109375" customWidth="1"/>
    <col min="1033" max="1033" width="19.42578125" customWidth="1"/>
    <col min="1282" max="1284" width="13.28515625" customWidth="1"/>
    <col min="1285" max="1285" width="52.7109375" customWidth="1"/>
    <col min="1287" max="1287" width="17.28515625" customWidth="1"/>
    <col min="1288" max="1288" width="19.7109375" customWidth="1"/>
    <col min="1289" max="1289" width="19.42578125" customWidth="1"/>
    <col min="1538" max="1540" width="13.28515625" customWidth="1"/>
    <col min="1541" max="1541" width="52.7109375" customWidth="1"/>
    <col min="1543" max="1543" width="17.28515625" customWidth="1"/>
    <col min="1544" max="1544" width="19.7109375" customWidth="1"/>
    <col min="1545" max="1545" width="19.42578125" customWidth="1"/>
    <col min="1794" max="1796" width="13.28515625" customWidth="1"/>
    <col min="1797" max="1797" width="52.7109375" customWidth="1"/>
    <col min="1799" max="1799" width="17.28515625" customWidth="1"/>
    <col min="1800" max="1800" width="19.7109375" customWidth="1"/>
    <col min="1801" max="1801" width="19.42578125" customWidth="1"/>
    <col min="2050" max="2052" width="13.28515625" customWidth="1"/>
    <col min="2053" max="2053" width="52.7109375" customWidth="1"/>
    <col min="2055" max="2055" width="17.28515625" customWidth="1"/>
    <col min="2056" max="2056" width="19.7109375" customWidth="1"/>
    <col min="2057" max="2057" width="19.42578125" customWidth="1"/>
    <col min="2306" max="2308" width="13.28515625" customWidth="1"/>
    <col min="2309" max="2309" width="52.7109375" customWidth="1"/>
    <col min="2311" max="2311" width="17.28515625" customWidth="1"/>
    <col min="2312" max="2312" width="19.7109375" customWidth="1"/>
    <col min="2313" max="2313" width="19.42578125" customWidth="1"/>
    <col min="2562" max="2564" width="13.28515625" customWidth="1"/>
    <col min="2565" max="2565" width="52.7109375" customWidth="1"/>
    <col min="2567" max="2567" width="17.28515625" customWidth="1"/>
    <col min="2568" max="2568" width="19.7109375" customWidth="1"/>
    <col min="2569" max="2569" width="19.42578125" customWidth="1"/>
    <col min="2818" max="2820" width="13.28515625" customWidth="1"/>
    <col min="2821" max="2821" width="52.7109375" customWidth="1"/>
    <col min="2823" max="2823" width="17.28515625" customWidth="1"/>
    <col min="2824" max="2824" width="19.7109375" customWidth="1"/>
    <col min="2825" max="2825" width="19.42578125" customWidth="1"/>
    <col min="3074" max="3076" width="13.28515625" customWidth="1"/>
    <col min="3077" max="3077" width="52.7109375" customWidth="1"/>
    <col min="3079" max="3079" width="17.28515625" customWidth="1"/>
    <col min="3080" max="3080" width="19.7109375" customWidth="1"/>
    <col min="3081" max="3081" width="19.42578125" customWidth="1"/>
    <col min="3330" max="3332" width="13.28515625" customWidth="1"/>
    <col min="3333" max="3333" width="52.7109375" customWidth="1"/>
    <col min="3335" max="3335" width="17.28515625" customWidth="1"/>
    <col min="3336" max="3336" width="19.7109375" customWidth="1"/>
    <col min="3337" max="3337" width="19.42578125" customWidth="1"/>
    <col min="3586" max="3588" width="13.28515625" customWidth="1"/>
    <col min="3589" max="3589" width="52.7109375" customWidth="1"/>
    <col min="3591" max="3591" width="17.28515625" customWidth="1"/>
    <col min="3592" max="3592" width="19.7109375" customWidth="1"/>
    <col min="3593" max="3593" width="19.42578125" customWidth="1"/>
    <col min="3842" max="3844" width="13.28515625" customWidth="1"/>
    <col min="3845" max="3845" width="52.7109375" customWidth="1"/>
    <col min="3847" max="3847" width="17.28515625" customWidth="1"/>
    <col min="3848" max="3848" width="19.7109375" customWidth="1"/>
    <col min="3849" max="3849" width="19.42578125" customWidth="1"/>
    <col min="4098" max="4100" width="13.28515625" customWidth="1"/>
    <col min="4101" max="4101" width="52.7109375" customWidth="1"/>
    <col min="4103" max="4103" width="17.28515625" customWidth="1"/>
    <col min="4104" max="4104" width="19.7109375" customWidth="1"/>
    <col min="4105" max="4105" width="19.42578125" customWidth="1"/>
    <col min="4354" max="4356" width="13.28515625" customWidth="1"/>
    <col min="4357" max="4357" width="52.7109375" customWidth="1"/>
    <col min="4359" max="4359" width="17.28515625" customWidth="1"/>
    <col min="4360" max="4360" width="19.7109375" customWidth="1"/>
    <col min="4361" max="4361" width="19.42578125" customWidth="1"/>
    <col min="4610" max="4612" width="13.28515625" customWidth="1"/>
    <col min="4613" max="4613" width="52.7109375" customWidth="1"/>
    <col min="4615" max="4615" width="17.28515625" customWidth="1"/>
    <col min="4616" max="4616" width="19.7109375" customWidth="1"/>
    <col min="4617" max="4617" width="19.42578125" customWidth="1"/>
    <col min="4866" max="4868" width="13.28515625" customWidth="1"/>
    <col min="4869" max="4869" width="52.7109375" customWidth="1"/>
    <col min="4871" max="4871" width="17.28515625" customWidth="1"/>
    <col min="4872" max="4872" width="19.7109375" customWidth="1"/>
    <col min="4873" max="4873" width="19.42578125" customWidth="1"/>
    <col min="5122" max="5124" width="13.28515625" customWidth="1"/>
    <col min="5125" max="5125" width="52.7109375" customWidth="1"/>
    <col min="5127" max="5127" width="17.28515625" customWidth="1"/>
    <col min="5128" max="5128" width="19.7109375" customWidth="1"/>
    <col min="5129" max="5129" width="19.42578125" customWidth="1"/>
    <col min="5378" max="5380" width="13.28515625" customWidth="1"/>
    <col min="5381" max="5381" width="52.7109375" customWidth="1"/>
    <col min="5383" max="5383" width="17.28515625" customWidth="1"/>
    <col min="5384" max="5384" width="19.7109375" customWidth="1"/>
    <col min="5385" max="5385" width="19.42578125" customWidth="1"/>
    <col min="5634" max="5636" width="13.28515625" customWidth="1"/>
    <col min="5637" max="5637" width="52.7109375" customWidth="1"/>
    <col min="5639" max="5639" width="17.28515625" customWidth="1"/>
    <col min="5640" max="5640" width="19.7109375" customWidth="1"/>
    <col min="5641" max="5641" width="19.42578125" customWidth="1"/>
    <col min="5890" max="5892" width="13.28515625" customWidth="1"/>
    <col min="5893" max="5893" width="52.7109375" customWidth="1"/>
    <col min="5895" max="5895" width="17.28515625" customWidth="1"/>
    <col min="5896" max="5896" width="19.7109375" customWidth="1"/>
    <col min="5897" max="5897" width="19.42578125" customWidth="1"/>
    <col min="6146" max="6148" width="13.28515625" customWidth="1"/>
    <col min="6149" max="6149" width="52.7109375" customWidth="1"/>
    <col min="6151" max="6151" width="17.28515625" customWidth="1"/>
    <col min="6152" max="6152" width="19.7109375" customWidth="1"/>
    <col min="6153" max="6153" width="19.42578125" customWidth="1"/>
    <col min="6402" max="6404" width="13.28515625" customWidth="1"/>
    <col min="6405" max="6405" width="52.7109375" customWidth="1"/>
    <col min="6407" max="6407" width="17.28515625" customWidth="1"/>
    <col min="6408" max="6408" width="19.7109375" customWidth="1"/>
    <col min="6409" max="6409" width="19.42578125" customWidth="1"/>
    <col min="6658" max="6660" width="13.28515625" customWidth="1"/>
    <col min="6661" max="6661" width="52.7109375" customWidth="1"/>
    <col min="6663" max="6663" width="17.28515625" customWidth="1"/>
    <col min="6664" max="6664" width="19.7109375" customWidth="1"/>
    <col min="6665" max="6665" width="19.42578125" customWidth="1"/>
    <col min="6914" max="6916" width="13.28515625" customWidth="1"/>
    <col min="6917" max="6917" width="52.7109375" customWidth="1"/>
    <col min="6919" max="6919" width="17.28515625" customWidth="1"/>
    <col min="6920" max="6920" width="19.7109375" customWidth="1"/>
    <col min="6921" max="6921" width="19.42578125" customWidth="1"/>
    <col min="7170" max="7172" width="13.28515625" customWidth="1"/>
    <col min="7173" max="7173" width="52.7109375" customWidth="1"/>
    <col min="7175" max="7175" width="17.28515625" customWidth="1"/>
    <col min="7176" max="7176" width="19.7109375" customWidth="1"/>
    <col min="7177" max="7177" width="19.42578125" customWidth="1"/>
    <col min="7426" max="7428" width="13.28515625" customWidth="1"/>
    <col min="7429" max="7429" width="52.7109375" customWidth="1"/>
    <col min="7431" max="7431" width="17.28515625" customWidth="1"/>
    <col min="7432" max="7432" width="19.7109375" customWidth="1"/>
    <col min="7433" max="7433" width="19.42578125" customWidth="1"/>
    <col min="7682" max="7684" width="13.28515625" customWidth="1"/>
    <col min="7685" max="7685" width="52.7109375" customWidth="1"/>
    <col min="7687" max="7687" width="17.28515625" customWidth="1"/>
    <col min="7688" max="7688" width="19.7109375" customWidth="1"/>
    <col min="7689" max="7689" width="19.42578125" customWidth="1"/>
    <col min="7938" max="7940" width="13.28515625" customWidth="1"/>
    <col min="7941" max="7941" width="52.7109375" customWidth="1"/>
    <col min="7943" max="7943" width="17.28515625" customWidth="1"/>
    <col min="7944" max="7944" width="19.7109375" customWidth="1"/>
    <col min="7945" max="7945" width="19.42578125" customWidth="1"/>
    <col min="8194" max="8196" width="13.28515625" customWidth="1"/>
    <col min="8197" max="8197" width="52.7109375" customWidth="1"/>
    <col min="8199" max="8199" width="17.28515625" customWidth="1"/>
    <col min="8200" max="8200" width="19.7109375" customWidth="1"/>
    <col min="8201" max="8201" width="19.42578125" customWidth="1"/>
    <col min="8450" max="8452" width="13.28515625" customWidth="1"/>
    <col min="8453" max="8453" width="52.7109375" customWidth="1"/>
    <col min="8455" max="8455" width="17.28515625" customWidth="1"/>
    <col min="8456" max="8456" width="19.7109375" customWidth="1"/>
    <col min="8457" max="8457" width="19.42578125" customWidth="1"/>
    <col min="8706" max="8708" width="13.28515625" customWidth="1"/>
    <col min="8709" max="8709" width="52.7109375" customWidth="1"/>
    <col min="8711" max="8711" width="17.28515625" customWidth="1"/>
    <col min="8712" max="8712" width="19.7109375" customWidth="1"/>
    <col min="8713" max="8713" width="19.42578125" customWidth="1"/>
    <col min="8962" max="8964" width="13.28515625" customWidth="1"/>
    <col min="8965" max="8965" width="52.7109375" customWidth="1"/>
    <col min="8967" max="8967" width="17.28515625" customWidth="1"/>
    <col min="8968" max="8968" width="19.7109375" customWidth="1"/>
    <col min="8969" max="8969" width="19.42578125" customWidth="1"/>
    <col min="9218" max="9220" width="13.28515625" customWidth="1"/>
    <col min="9221" max="9221" width="52.7109375" customWidth="1"/>
    <col min="9223" max="9223" width="17.28515625" customWidth="1"/>
    <col min="9224" max="9224" width="19.7109375" customWidth="1"/>
    <col min="9225" max="9225" width="19.42578125" customWidth="1"/>
    <col min="9474" max="9476" width="13.28515625" customWidth="1"/>
    <col min="9477" max="9477" width="52.7109375" customWidth="1"/>
    <col min="9479" max="9479" width="17.28515625" customWidth="1"/>
    <col min="9480" max="9480" width="19.7109375" customWidth="1"/>
    <col min="9481" max="9481" width="19.42578125" customWidth="1"/>
    <col min="9730" max="9732" width="13.28515625" customWidth="1"/>
    <col min="9733" max="9733" width="52.7109375" customWidth="1"/>
    <col min="9735" max="9735" width="17.28515625" customWidth="1"/>
    <col min="9736" max="9736" width="19.7109375" customWidth="1"/>
    <col min="9737" max="9737" width="19.42578125" customWidth="1"/>
    <col min="9986" max="9988" width="13.28515625" customWidth="1"/>
    <col min="9989" max="9989" width="52.7109375" customWidth="1"/>
    <col min="9991" max="9991" width="17.28515625" customWidth="1"/>
    <col min="9992" max="9992" width="19.7109375" customWidth="1"/>
    <col min="9993" max="9993" width="19.42578125" customWidth="1"/>
    <col min="10242" max="10244" width="13.28515625" customWidth="1"/>
    <col min="10245" max="10245" width="52.7109375" customWidth="1"/>
    <col min="10247" max="10247" width="17.28515625" customWidth="1"/>
    <col min="10248" max="10248" width="19.7109375" customWidth="1"/>
    <col min="10249" max="10249" width="19.42578125" customWidth="1"/>
    <col min="10498" max="10500" width="13.28515625" customWidth="1"/>
    <col min="10501" max="10501" width="52.7109375" customWidth="1"/>
    <col min="10503" max="10503" width="17.28515625" customWidth="1"/>
    <col min="10504" max="10504" width="19.7109375" customWidth="1"/>
    <col min="10505" max="10505" width="19.42578125" customWidth="1"/>
    <col min="10754" max="10756" width="13.28515625" customWidth="1"/>
    <col min="10757" max="10757" width="52.7109375" customWidth="1"/>
    <col min="10759" max="10759" width="17.28515625" customWidth="1"/>
    <col min="10760" max="10760" width="19.7109375" customWidth="1"/>
    <col min="10761" max="10761" width="19.42578125" customWidth="1"/>
    <col min="11010" max="11012" width="13.28515625" customWidth="1"/>
    <col min="11013" max="11013" width="52.7109375" customWidth="1"/>
    <col min="11015" max="11015" width="17.28515625" customWidth="1"/>
    <col min="11016" max="11016" width="19.7109375" customWidth="1"/>
    <col min="11017" max="11017" width="19.42578125" customWidth="1"/>
    <col min="11266" max="11268" width="13.28515625" customWidth="1"/>
    <col min="11269" max="11269" width="52.7109375" customWidth="1"/>
    <col min="11271" max="11271" width="17.28515625" customWidth="1"/>
    <col min="11272" max="11272" width="19.7109375" customWidth="1"/>
    <col min="11273" max="11273" width="19.42578125" customWidth="1"/>
    <col min="11522" max="11524" width="13.28515625" customWidth="1"/>
    <col min="11525" max="11525" width="52.7109375" customWidth="1"/>
    <col min="11527" max="11527" width="17.28515625" customWidth="1"/>
    <col min="11528" max="11528" width="19.7109375" customWidth="1"/>
    <col min="11529" max="11529" width="19.42578125" customWidth="1"/>
    <col min="11778" max="11780" width="13.28515625" customWidth="1"/>
    <col min="11781" max="11781" width="52.7109375" customWidth="1"/>
    <col min="11783" max="11783" width="17.28515625" customWidth="1"/>
    <col min="11784" max="11784" width="19.7109375" customWidth="1"/>
    <col min="11785" max="11785" width="19.42578125" customWidth="1"/>
    <col min="12034" max="12036" width="13.28515625" customWidth="1"/>
    <col min="12037" max="12037" width="52.7109375" customWidth="1"/>
    <col min="12039" max="12039" width="17.28515625" customWidth="1"/>
    <col min="12040" max="12040" width="19.7109375" customWidth="1"/>
    <col min="12041" max="12041" width="19.42578125" customWidth="1"/>
    <col min="12290" max="12292" width="13.28515625" customWidth="1"/>
    <col min="12293" max="12293" width="52.7109375" customWidth="1"/>
    <col min="12295" max="12295" width="17.28515625" customWidth="1"/>
    <col min="12296" max="12296" width="19.7109375" customWidth="1"/>
    <col min="12297" max="12297" width="19.42578125" customWidth="1"/>
    <col min="12546" max="12548" width="13.28515625" customWidth="1"/>
    <col min="12549" max="12549" width="52.7109375" customWidth="1"/>
    <col min="12551" max="12551" width="17.28515625" customWidth="1"/>
    <col min="12552" max="12552" width="19.7109375" customWidth="1"/>
    <col min="12553" max="12553" width="19.42578125" customWidth="1"/>
    <col min="12802" max="12804" width="13.28515625" customWidth="1"/>
    <col min="12805" max="12805" width="52.7109375" customWidth="1"/>
    <col min="12807" max="12807" width="17.28515625" customWidth="1"/>
    <col min="12808" max="12808" width="19.7109375" customWidth="1"/>
    <col min="12809" max="12809" width="19.42578125" customWidth="1"/>
    <col min="13058" max="13060" width="13.28515625" customWidth="1"/>
    <col min="13061" max="13061" width="52.7109375" customWidth="1"/>
    <col min="13063" max="13063" width="17.28515625" customWidth="1"/>
    <col min="13064" max="13064" width="19.7109375" customWidth="1"/>
    <col min="13065" max="13065" width="19.42578125" customWidth="1"/>
    <col min="13314" max="13316" width="13.28515625" customWidth="1"/>
    <col min="13317" max="13317" width="52.7109375" customWidth="1"/>
    <col min="13319" max="13319" width="17.28515625" customWidth="1"/>
    <col min="13320" max="13320" width="19.7109375" customWidth="1"/>
    <col min="13321" max="13321" width="19.42578125" customWidth="1"/>
    <col min="13570" max="13572" width="13.28515625" customWidth="1"/>
    <col min="13573" max="13573" width="52.7109375" customWidth="1"/>
    <col min="13575" max="13575" width="17.28515625" customWidth="1"/>
    <col min="13576" max="13576" width="19.7109375" customWidth="1"/>
    <col min="13577" max="13577" width="19.42578125" customWidth="1"/>
    <col min="13826" max="13828" width="13.28515625" customWidth="1"/>
    <col min="13829" max="13829" width="52.7109375" customWidth="1"/>
    <col min="13831" max="13831" width="17.28515625" customWidth="1"/>
    <col min="13832" max="13832" width="19.7109375" customWidth="1"/>
    <col min="13833" max="13833" width="19.42578125" customWidth="1"/>
    <col min="14082" max="14084" width="13.28515625" customWidth="1"/>
    <col min="14085" max="14085" width="52.7109375" customWidth="1"/>
    <col min="14087" max="14087" width="17.28515625" customWidth="1"/>
    <col min="14088" max="14088" width="19.7109375" customWidth="1"/>
    <col min="14089" max="14089" width="19.42578125" customWidth="1"/>
    <col min="14338" max="14340" width="13.28515625" customWidth="1"/>
    <col min="14341" max="14341" width="52.7109375" customWidth="1"/>
    <col min="14343" max="14343" width="17.28515625" customWidth="1"/>
    <col min="14344" max="14344" width="19.7109375" customWidth="1"/>
    <col min="14345" max="14345" width="19.42578125" customWidth="1"/>
    <col min="14594" max="14596" width="13.28515625" customWidth="1"/>
    <col min="14597" max="14597" width="52.7109375" customWidth="1"/>
    <col min="14599" max="14599" width="17.28515625" customWidth="1"/>
    <col min="14600" max="14600" width="19.7109375" customWidth="1"/>
    <col min="14601" max="14601" width="19.42578125" customWidth="1"/>
    <col min="14850" max="14852" width="13.28515625" customWidth="1"/>
    <col min="14853" max="14853" width="52.7109375" customWidth="1"/>
    <col min="14855" max="14855" width="17.28515625" customWidth="1"/>
    <col min="14856" max="14856" width="19.7109375" customWidth="1"/>
    <col min="14857" max="14857" width="19.42578125" customWidth="1"/>
    <col min="15106" max="15108" width="13.28515625" customWidth="1"/>
    <col min="15109" max="15109" width="52.7109375" customWidth="1"/>
    <col min="15111" max="15111" width="17.28515625" customWidth="1"/>
    <col min="15112" max="15112" width="19.7109375" customWidth="1"/>
    <col min="15113" max="15113" width="19.42578125" customWidth="1"/>
    <col min="15362" max="15364" width="13.28515625" customWidth="1"/>
    <col min="15365" max="15365" width="52.7109375" customWidth="1"/>
    <col min="15367" max="15367" width="17.28515625" customWidth="1"/>
    <col min="15368" max="15368" width="19.7109375" customWidth="1"/>
    <col min="15369" max="15369" width="19.42578125" customWidth="1"/>
    <col min="15618" max="15620" width="13.28515625" customWidth="1"/>
    <col min="15621" max="15621" width="52.7109375" customWidth="1"/>
    <col min="15623" max="15623" width="17.28515625" customWidth="1"/>
    <col min="15624" max="15624" width="19.7109375" customWidth="1"/>
    <col min="15625" max="15625" width="19.42578125" customWidth="1"/>
    <col min="15874" max="15876" width="13.28515625" customWidth="1"/>
    <col min="15877" max="15877" width="52.7109375" customWidth="1"/>
    <col min="15879" max="15879" width="17.28515625" customWidth="1"/>
    <col min="15880" max="15880" width="19.7109375" customWidth="1"/>
    <col min="15881" max="15881" width="19.42578125" customWidth="1"/>
    <col min="16130" max="16132" width="13.28515625" customWidth="1"/>
    <col min="16133" max="16133" width="52.7109375" customWidth="1"/>
    <col min="16135" max="16135" width="17.28515625" customWidth="1"/>
    <col min="16136" max="16136" width="19.7109375" customWidth="1"/>
    <col min="16137" max="16137" width="19.42578125" customWidth="1"/>
  </cols>
  <sheetData>
    <row r="1" spans="2:9" ht="10.5" customHeight="1"/>
    <row r="2" spans="2:9" ht="17.100000000000001" customHeight="1">
      <c r="B2" s="284"/>
      <c r="C2" s="285"/>
      <c r="D2" s="285"/>
      <c r="E2" s="577" t="s">
        <v>169</v>
      </c>
      <c r="F2" s="577"/>
      <c r="G2" s="577"/>
      <c r="H2" s="577"/>
      <c r="I2" s="578"/>
    </row>
    <row r="3" spans="2:9" ht="17.100000000000001" customHeight="1">
      <c r="B3" s="286"/>
      <c r="E3" s="579" t="s">
        <v>170</v>
      </c>
      <c r="F3" s="579"/>
      <c r="G3" s="579"/>
      <c r="H3" s="579"/>
      <c r="I3" s="580"/>
    </row>
    <row r="4" spans="2:9" ht="17.100000000000001" customHeight="1">
      <c r="B4" s="287"/>
      <c r="C4" s="288"/>
      <c r="D4" s="288"/>
      <c r="E4" s="581" t="s">
        <v>171</v>
      </c>
      <c r="F4" s="581"/>
      <c r="G4" s="581"/>
      <c r="H4" s="581"/>
      <c r="I4" s="582"/>
    </row>
    <row r="5" spans="2:9" ht="6.95" customHeight="1">
      <c r="B5" s="286"/>
      <c r="I5" s="307"/>
    </row>
    <row r="6" spans="2:9" ht="44.25" customHeight="1">
      <c r="B6" s="583" t="s">
        <v>15</v>
      </c>
      <c r="C6" s="584"/>
      <c r="D6" s="584"/>
      <c r="E6" s="584"/>
      <c r="F6" s="584"/>
      <c r="G6" s="584"/>
      <c r="H6" s="584"/>
      <c r="I6" s="585"/>
    </row>
    <row r="7" spans="2:9" ht="6.95" customHeight="1">
      <c r="B7" s="286"/>
      <c r="I7" s="307"/>
    </row>
    <row r="8" spans="2:9" ht="22.5" customHeight="1">
      <c r="B8" s="586" t="s">
        <v>172</v>
      </c>
      <c r="C8" s="587"/>
      <c r="D8" s="587"/>
      <c r="E8" s="587"/>
      <c r="F8" s="587"/>
      <c r="G8" s="587"/>
      <c r="H8" s="587"/>
      <c r="I8" s="588"/>
    </row>
    <row r="9" spans="2:9" ht="6.95" customHeight="1">
      <c r="B9" s="290"/>
      <c r="C9" s="291"/>
      <c r="D9" s="291"/>
      <c r="E9" s="291"/>
      <c r="F9" s="291"/>
      <c r="G9" s="291"/>
      <c r="H9" s="291"/>
      <c r="I9" s="308"/>
    </row>
    <row r="10" spans="2:9" ht="21.95" customHeight="1">
      <c r="B10" s="292"/>
      <c r="C10" s="293"/>
      <c r="D10" s="291"/>
      <c r="E10" s="291"/>
      <c r="F10" s="293"/>
      <c r="G10" s="571" t="s">
        <v>173</v>
      </c>
      <c r="H10" s="572"/>
      <c r="I10" s="309">
        <f>'Planilha Global'!M7</f>
        <v>1.1664000000000001</v>
      </c>
    </row>
    <row r="11" spans="2:9" ht="22.5" customHeight="1">
      <c r="B11" s="294"/>
      <c r="C11" s="573"/>
      <c r="D11" s="573"/>
      <c r="E11" s="573"/>
      <c r="F11" s="293"/>
      <c r="G11" s="574" t="s">
        <v>174</v>
      </c>
      <c r="H11" s="575"/>
      <c r="I11" s="576"/>
    </row>
    <row r="12" spans="2:9" ht="6.95" customHeight="1">
      <c r="B12" s="292"/>
      <c r="C12" s="293"/>
      <c r="D12" s="293"/>
      <c r="E12" s="293"/>
      <c r="F12" s="293"/>
      <c r="G12" s="293"/>
      <c r="H12" s="293"/>
      <c r="I12" s="310"/>
    </row>
    <row r="13" spans="2:9" ht="30" customHeight="1">
      <c r="B13" s="295" t="s">
        <v>175</v>
      </c>
      <c r="C13" s="296" t="s">
        <v>52</v>
      </c>
      <c r="D13" s="296" t="s">
        <v>176</v>
      </c>
      <c r="E13" s="297" t="s">
        <v>177</v>
      </c>
      <c r="F13" s="296" t="s">
        <v>31</v>
      </c>
      <c r="G13" s="298" t="s">
        <v>178</v>
      </c>
      <c r="H13" s="298" t="s">
        <v>179</v>
      </c>
      <c r="I13" s="311" t="s">
        <v>180</v>
      </c>
    </row>
    <row r="14" spans="2:9" ht="27" customHeight="1">
      <c r="B14" s="299" t="s">
        <v>181</v>
      </c>
      <c r="C14" s="300" t="s">
        <v>182</v>
      </c>
      <c r="D14" s="300">
        <f>'Preços Insumos e Serviços'!D42</f>
        <v>90776</v>
      </c>
      <c r="E14" s="301" t="str">
        <f>'Preços Insumos e Serviços'!B42</f>
        <v>ENCARREGADO GERAL COM ENCARGOS COMPLEMENTARES</v>
      </c>
      <c r="F14" s="300" t="str">
        <f>'Preços Insumos e Serviços'!E42</f>
        <v>H</v>
      </c>
      <c r="G14" s="302">
        <v>320</v>
      </c>
      <c r="H14" s="303">
        <f>'Preços Insumos e Serviços'!F42</f>
        <v>38.85</v>
      </c>
      <c r="I14" s="312">
        <f>ROUNDDOWN(G14*H14,2)</f>
        <v>12432</v>
      </c>
    </row>
    <row r="15" spans="2:9" ht="27" customHeight="1">
      <c r="B15" s="299" t="s">
        <v>181</v>
      </c>
      <c r="C15" s="300" t="s">
        <v>182</v>
      </c>
      <c r="D15" s="300">
        <f>'Preços Insumos e Serviços'!D43</f>
        <v>90777</v>
      </c>
      <c r="E15" s="301" t="str">
        <f>'Preços Insumos e Serviços'!B43</f>
        <v>ENGENHEIRO CIVIL DE OBRA JUNIOR COM ENCARGOS COMPLEMENTARES</v>
      </c>
      <c r="F15" s="300" t="str">
        <f>'Preços Insumos e Serviços'!E43</f>
        <v>H</v>
      </c>
      <c r="G15" s="302">
        <v>80</v>
      </c>
      <c r="H15" s="303">
        <f>'Preços Insumos e Serviços'!F43</f>
        <v>122.3</v>
      </c>
      <c r="I15" s="312">
        <f>ROUND(G15*H15,2)</f>
        <v>9784</v>
      </c>
    </row>
    <row r="16" spans="2:9" ht="21.95" customHeight="1">
      <c r="B16" s="304"/>
      <c r="C16" s="305"/>
      <c r="D16" s="305"/>
      <c r="E16" s="305"/>
      <c r="F16" s="563" t="s">
        <v>183</v>
      </c>
      <c r="G16" s="564"/>
      <c r="H16" s="565"/>
      <c r="I16" s="313">
        <f>ROUND(SUM(I14:I15),2)</f>
        <v>22216</v>
      </c>
    </row>
    <row r="17" spans="2:9" ht="30" customHeight="1">
      <c r="B17" s="295" t="s">
        <v>184</v>
      </c>
      <c r="C17" s="296" t="s">
        <v>52</v>
      </c>
      <c r="D17" s="296" t="s">
        <v>176</v>
      </c>
      <c r="E17" s="297" t="s">
        <v>185</v>
      </c>
      <c r="F17" s="296" t="s">
        <v>186</v>
      </c>
      <c r="G17" s="298" t="s">
        <v>178</v>
      </c>
      <c r="H17" s="298" t="s">
        <v>179</v>
      </c>
      <c r="I17" s="311" t="s">
        <v>180</v>
      </c>
    </row>
    <row r="18" spans="2:9" ht="20.100000000000001" customHeight="1">
      <c r="B18" s="299" t="s">
        <v>187</v>
      </c>
      <c r="C18" s="300" t="s">
        <v>182</v>
      </c>
      <c r="D18" s="300">
        <f>'Preços Insumos e Serviços'!D52</f>
        <v>5075</v>
      </c>
      <c r="E18" s="301" t="str">
        <f>'Preços Insumos e Serviços'!B52</f>
        <v>PREGO DE ACO POLIDO COM CABECA 18 X 30 (2 3/4 X 10)</v>
      </c>
      <c r="F18" s="300" t="str">
        <f>'Preços Insumos e Serviços'!E52</f>
        <v>KG</v>
      </c>
      <c r="G18" s="306">
        <v>0.11</v>
      </c>
      <c r="H18" s="303">
        <f>'Preços Insumos e Serviços'!F52</f>
        <v>17.760000000000002</v>
      </c>
      <c r="I18" s="312">
        <f t="shared" ref="I18:I27" si="0">ROUND(G18*H18,2)</f>
        <v>1.95</v>
      </c>
    </row>
    <row r="19" spans="2:9" ht="35.1" customHeight="1">
      <c r="B19" s="299" t="s">
        <v>187</v>
      </c>
      <c r="C19" s="300" t="s">
        <v>182</v>
      </c>
      <c r="D19" s="300">
        <f>'Preços Insumos e Serviços'!D51</f>
        <v>4491</v>
      </c>
      <c r="E19" s="301" t="str">
        <f>'Preços Insumos e Serviços'!B51</f>
        <v>PONTALETE *7,5 X 7,5* CM EM PINUS, MISTA OU EQUIVALENTE DA REGIAO - BRUTA</v>
      </c>
      <c r="F19" s="300" t="str">
        <f>'Preços Insumos e Serviços'!E51</f>
        <v>M</v>
      </c>
      <c r="G19" s="306">
        <v>4</v>
      </c>
      <c r="H19" s="303">
        <f>'Preços Insumos e Serviços'!F51</f>
        <v>9.5</v>
      </c>
      <c r="I19" s="312">
        <f t="shared" si="0"/>
        <v>38</v>
      </c>
    </row>
    <row r="20" spans="2:9" ht="35.1" customHeight="1">
      <c r="B20" s="299" t="s">
        <v>187</v>
      </c>
      <c r="C20" s="300" t="s">
        <v>182</v>
      </c>
      <c r="D20" s="300">
        <f>'Preços Insumos e Serviços'!D53</f>
        <v>4417</v>
      </c>
      <c r="E20" s="301" t="str">
        <f>'Preços Insumos e Serviços'!B53</f>
        <v>SARRAFO NAO APARELHADO *2,5 X 7* CM, EM MACARANDUBA, ANGELIM OU EQUIVALENTE DA REGIAO - BRUTA</v>
      </c>
      <c r="F20" s="300" t="str">
        <f>'Preços Insumos e Serviços'!E53</f>
        <v>M</v>
      </c>
      <c r="G20" s="306">
        <v>1</v>
      </c>
      <c r="H20" s="303">
        <f>'Preços Insumos e Serviços'!F53</f>
        <v>7.22</v>
      </c>
      <c r="I20" s="312">
        <f t="shared" si="0"/>
        <v>7.22</v>
      </c>
    </row>
    <row r="21" spans="2:9" ht="35.1" customHeight="1">
      <c r="B21" s="299" t="s">
        <v>187</v>
      </c>
      <c r="C21" s="300" t="s">
        <v>182</v>
      </c>
      <c r="D21" s="300">
        <f>'Preços Insumos e Serviços'!D50</f>
        <v>4813</v>
      </c>
      <c r="E21" s="301" t="str">
        <f>'Preços Insumos e Serviços'!B50</f>
        <v>PLACA DE OBRA (PARA CONSTRUCAO CIVIL) EM CHAPA GALVANIZADA *N. 22*, ADESIVADA, DE *2,4 X 1,2* M (SEM POSTES PARA FIXACAO)</v>
      </c>
      <c r="F21" s="300" t="str">
        <f>'Preços Insumos e Serviços'!E50</f>
        <v>M²</v>
      </c>
      <c r="G21" s="306">
        <v>1</v>
      </c>
      <c r="H21" s="303">
        <f>'Preços Insumos e Serviços'!F50</f>
        <v>375</v>
      </c>
      <c r="I21" s="312">
        <f t="shared" si="0"/>
        <v>375</v>
      </c>
    </row>
    <row r="22" spans="2:9" ht="22.5">
      <c r="B22" s="299" t="s">
        <v>187</v>
      </c>
      <c r="C22" s="300" t="s">
        <v>182</v>
      </c>
      <c r="D22" s="300">
        <f>'Preços Insumos e Serviços'!D35</f>
        <v>370</v>
      </c>
      <c r="E22" s="301" t="str">
        <f>'Preços Insumos e Serviços'!B35</f>
        <v>AREIA MEDIA - POSTO JAZIDA/FORNECEDOR (RETIRADO NA JAZIDA, SEM TRANSPORTE)</v>
      </c>
      <c r="F22" s="300" t="str">
        <f>'Preços Insumos e Serviços'!E35</f>
        <v>M³</v>
      </c>
      <c r="G22" s="306">
        <v>4.8999999999999998E-3</v>
      </c>
      <c r="H22" s="303">
        <f>'Preços Insumos e Serviços'!F35</f>
        <v>117.45</v>
      </c>
      <c r="I22" s="312">
        <f t="shared" si="0"/>
        <v>0.57999999999999996</v>
      </c>
    </row>
    <row r="23" spans="2:9" ht="24.95" customHeight="1">
      <c r="B23" s="299" t="s">
        <v>187</v>
      </c>
      <c r="C23" s="300" t="s">
        <v>182</v>
      </c>
      <c r="D23" s="300">
        <f>'Preços Insumos e Serviços'!D40</f>
        <v>1379</v>
      </c>
      <c r="E23" s="301" t="str">
        <f>'Preços Insumos e Serviços'!B40</f>
        <v>CIMENTO PORTLAND COMPOSTO CP II-32</v>
      </c>
      <c r="F23" s="300" t="str">
        <f>'Preços Insumos e Serviços'!E40</f>
        <v>KG</v>
      </c>
      <c r="G23" s="306">
        <v>1.5</v>
      </c>
      <c r="H23" s="303">
        <f>'Preços Insumos e Serviços'!F40</f>
        <v>0.8</v>
      </c>
      <c r="I23" s="312">
        <f t="shared" si="0"/>
        <v>1.2</v>
      </c>
    </row>
    <row r="24" spans="2:9" ht="35.1" customHeight="1">
      <c r="B24" s="299" t="s">
        <v>187</v>
      </c>
      <c r="C24" s="300" t="s">
        <v>182</v>
      </c>
      <c r="D24" s="300">
        <f>'Preços Insumos e Serviços'!D47</f>
        <v>4718</v>
      </c>
      <c r="E24" s="301" t="str">
        <f>'Preços Insumos e Serviços'!B47</f>
        <v>PEDRA BRITADA N. 2 (19 A 38 MM) POSTO PEDREIRA/FORNECEDOR, SEM FRETE</v>
      </c>
      <c r="F24" s="300" t="str">
        <f>'Preços Insumos e Serviços'!E47</f>
        <v>M³</v>
      </c>
      <c r="G24" s="306">
        <v>9.7999999999999997E-3</v>
      </c>
      <c r="H24" s="303">
        <f>'Preços Insumos e Serviços'!F47</f>
        <v>112.03</v>
      </c>
      <c r="I24" s="312">
        <f t="shared" si="0"/>
        <v>1.1000000000000001</v>
      </c>
    </row>
    <row r="25" spans="2:9" ht="33.75">
      <c r="B25" s="299" t="s">
        <v>181</v>
      </c>
      <c r="C25" s="300" t="s">
        <v>182</v>
      </c>
      <c r="D25" s="300">
        <f>'Preços Insumos e Serviços'!D37</f>
        <v>87445</v>
      </c>
      <c r="E25" s="301" t="str">
        <f>'Preços Insumos e Serviços'!B37</f>
        <v>BETONEIRA CAPACIDADE NOMINAL 400 L, CAPACIDADE DE MISTURA 310 L, MOTOR A DIESEL POTÊNCIA 5,0 HP, SEM CARREGADOR - CHP DIURNO. AF_06/2014</v>
      </c>
      <c r="F25" s="300" t="str">
        <f>'Preços Insumos e Serviços'!E37</f>
        <v>H</v>
      </c>
      <c r="G25" s="306">
        <v>6.4999999999999997E-3</v>
      </c>
      <c r="H25" s="303">
        <f>'Preços Insumos e Serviços'!F37</f>
        <v>5.31</v>
      </c>
      <c r="I25" s="312">
        <f t="shared" si="0"/>
        <v>0.03</v>
      </c>
    </row>
    <row r="26" spans="2:9" ht="20.100000000000001" customHeight="1">
      <c r="B26" s="299" t="s">
        <v>181</v>
      </c>
      <c r="C26" s="300" t="s">
        <v>182</v>
      </c>
      <c r="D26" s="300">
        <f>'Preços Insumos e Serviços'!D39</f>
        <v>88262</v>
      </c>
      <c r="E26" s="301" t="str">
        <f>'Preços Insumos e Serviços'!B39</f>
        <v>CARPINTEIRO DE FORMAS COM ENCARGOS COMPLEMENTARES</v>
      </c>
      <c r="F26" s="300" t="str">
        <f>'Preços Insumos e Serviços'!E39</f>
        <v>H</v>
      </c>
      <c r="G26" s="306">
        <v>1</v>
      </c>
      <c r="H26" s="303">
        <f>'Preços Insumos e Serviços'!F39</f>
        <v>31.88</v>
      </c>
      <c r="I26" s="312">
        <f t="shared" si="0"/>
        <v>31.88</v>
      </c>
    </row>
    <row r="27" spans="2:9" ht="20.100000000000001" customHeight="1">
      <c r="B27" s="299" t="s">
        <v>181</v>
      </c>
      <c r="C27" s="300" t="s">
        <v>182</v>
      </c>
      <c r="D27" s="300">
        <f>'Preços Insumos e Serviços'!D55</f>
        <v>88316</v>
      </c>
      <c r="E27" s="301" t="str">
        <f>'Preços Insumos e Serviços'!B55</f>
        <v>SERVENTE COM ENCARGOS COMPLEMENTARES</v>
      </c>
      <c r="F27" s="300" t="str">
        <f>'Preços Insumos e Serviços'!E55</f>
        <v>H</v>
      </c>
      <c r="G27" s="306">
        <v>2.06</v>
      </c>
      <c r="H27" s="303">
        <f>'Preços Insumos e Serviços'!F55</f>
        <v>23.23</v>
      </c>
      <c r="I27" s="312">
        <f t="shared" si="0"/>
        <v>47.85</v>
      </c>
    </row>
    <row r="28" spans="2:9" ht="24.95" customHeight="1">
      <c r="B28" s="561"/>
      <c r="C28" s="562"/>
      <c r="D28" s="562"/>
      <c r="E28" s="562"/>
      <c r="F28" s="563" t="s">
        <v>183</v>
      </c>
      <c r="G28" s="564"/>
      <c r="H28" s="565"/>
      <c r="I28" s="313">
        <f>SUM(I18:I27)</f>
        <v>504.81</v>
      </c>
    </row>
    <row r="29" spans="2:9" ht="30" customHeight="1">
      <c r="B29" s="295" t="s">
        <v>133</v>
      </c>
      <c r="C29" s="296" t="s">
        <v>52</v>
      </c>
      <c r="D29" s="296" t="s">
        <v>176</v>
      </c>
      <c r="E29" s="297" t="s">
        <v>188</v>
      </c>
      <c r="F29" s="296" t="s">
        <v>189</v>
      </c>
      <c r="G29" s="298" t="s">
        <v>178</v>
      </c>
      <c r="H29" s="298" t="s">
        <v>179</v>
      </c>
      <c r="I29" s="311" t="s">
        <v>180</v>
      </c>
    </row>
    <row r="30" spans="2:9" ht="30" customHeight="1">
      <c r="B30" s="299" t="s">
        <v>181</v>
      </c>
      <c r="C30" s="300" t="s">
        <v>190</v>
      </c>
      <c r="D30" s="300">
        <f>'Preços Insumos e Serviços'!D13</f>
        <v>1107892</v>
      </c>
      <c r="E30" s="301" t="str">
        <f>'Preços Insumos e Serviços'!B13</f>
        <v>Concreto fck = 20 Mpa - confecção em betoneira e lançamento manual - areia e brita comerciais</v>
      </c>
      <c r="F30" s="300" t="str">
        <f>'Preços Insumos e Serviços'!E13</f>
        <v>M³</v>
      </c>
      <c r="G30" s="306">
        <f>ROUND(1*0.3*0.15,2)</f>
        <v>0.05</v>
      </c>
      <c r="H30" s="303">
        <f>'Preços Insumos e Serviços'!F13</f>
        <v>473.84</v>
      </c>
      <c r="I30" s="312">
        <f>ROUNDDOWN(G30*H30,2)</f>
        <v>23.69</v>
      </c>
    </row>
    <row r="31" spans="2:9" ht="30" customHeight="1">
      <c r="B31" s="299" t="s">
        <v>181</v>
      </c>
      <c r="C31" s="300" t="s">
        <v>190</v>
      </c>
      <c r="D31" s="300">
        <f>'Preços Insumos e Serviços'!D19</f>
        <v>3103302</v>
      </c>
      <c r="E31" s="301" t="str">
        <f>'Preços Insumos e Serviços'!B19</f>
        <v>Fôrmas de tábuas de pinho para dispositivos de drenagem - utilização de 3 vezes - confecção, instalação e retirada</v>
      </c>
      <c r="F31" s="300" t="str">
        <f>'Preços Insumos e Serviços'!E19</f>
        <v>M²</v>
      </c>
      <c r="G31" s="306">
        <f>ROUND(2.3*0.3,2)</f>
        <v>0.69</v>
      </c>
      <c r="H31" s="303">
        <f>'Preços Insumos e Serviços'!F19</f>
        <v>83.4</v>
      </c>
      <c r="I31" s="312">
        <f>ROUNDDOWN(G31*H31,2)</f>
        <v>57.54</v>
      </c>
    </row>
    <row r="32" spans="2:9" ht="24.95" customHeight="1">
      <c r="B32" s="561"/>
      <c r="C32" s="562"/>
      <c r="D32" s="562"/>
      <c r="E32" s="562"/>
      <c r="F32" s="563" t="s">
        <v>183</v>
      </c>
      <c r="G32" s="564"/>
      <c r="H32" s="565"/>
      <c r="I32" s="313">
        <f>ROUND(SUM(I30:I31),2)</f>
        <v>81.23</v>
      </c>
    </row>
    <row r="33" spans="2:9">
      <c r="B33" s="292"/>
      <c r="C33" s="293"/>
      <c r="D33" s="293"/>
      <c r="E33" s="293"/>
      <c r="F33" s="293"/>
      <c r="G33" s="293"/>
      <c r="H33" s="293"/>
      <c r="I33" s="310"/>
    </row>
    <row r="34" spans="2:9">
      <c r="B34" s="292"/>
      <c r="C34" s="293"/>
      <c r="D34" s="293"/>
      <c r="E34" s="293"/>
      <c r="F34" s="293"/>
      <c r="G34" s="293"/>
      <c r="H34" s="293"/>
      <c r="I34" s="310"/>
    </row>
    <row r="35" spans="2:9" ht="30" customHeight="1">
      <c r="B35" s="295" t="s">
        <v>191</v>
      </c>
      <c r="C35" s="296" t="s">
        <v>76</v>
      </c>
      <c r="D35" s="296" t="s">
        <v>176</v>
      </c>
      <c r="E35" s="297" t="s">
        <v>192</v>
      </c>
      <c r="F35" s="296" t="s">
        <v>189</v>
      </c>
      <c r="G35" s="298" t="s">
        <v>178</v>
      </c>
      <c r="H35" s="298" t="s">
        <v>179</v>
      </c>
      <c r="I35" s="311" t="s">
        <v>180</v>
      </c>
    </row>
    <row r="36" spans="2:9" ht="25.5" customHeight="1">
      <c r="B36" s="299" t="s">
        <v>187</v>
      </c>
      <c r="C36" s="300" t="s">
        <v>182</v>
      </c>
      <c r="D36" s="300">
        <f>'Preços Insumos e Serviços'!D54</f>
        <v>43142</v>
      </c>
      <c r="E36" s="301" t="str">
        <f>'Preços Insumos e Serviços'!B54</f>
        <v>SELANTE MONOCOMPONENTE A BASE DE SILICONE DE BAIXO MÓDULO, PARA JUNTAS DE PAVIMENTAÇÃO</v>
      </c>
      <c r="F36" s="300" t="str">
        <f>'Preços Insumos e Serviços'!E54</f>
        <v>L</v>
      </c>
      <c r="G36" s="306">
        <v>6.4799999999999996E-2</v>
      </c>
      <c r="H36" s="303">
        <f>'Preços Insumos e Serviços'!F54</f>
        <v>144.86000000000001</v>
      </c>
      <c r="I36" s="312">
        <f>ROUNDDOWN(G36*H36,2)</f>
        <v>9.3800000000000008</v>
      </c>
    </row>
    <row r="37" spans="2:9" ht="35.1" customHeight="1">
      <c r="B37" s="299" t="s">
        <v>187</v>
      </c>
      <c r="C37" s="300" t="s">
        <v>182</v>
      </c>
      <c r="D37" s="300">
        <f>'Preços Insumos e Serviços'!D56</f>
        <v>44073</v>
      </c>
      <c r="E37" s="301" t="str">
        <f>'Preços Insumos e Serviços'!B56</f>
        <v>TARUGO DELIMITADOR DE PROFUNDIDADE EM ESPUMA DE POLIETILENO DE BAIXA DENSIDADE 10 MM, CINZA</v>
      </c>
      <c r="F37" s="300" t="str">
        <f>'Preços Insumos e Serviços'!E56</f>
        <v>M</v>
      </c>
      <c r="G37" s="306">
        <v>1</v>
      </c>
      <c r="H37" s="303">
        <f>'Preços Insumos e Serviços'!F56</f>
        <v>0.68</v>
      </c>
      <c r="I37" s="312">
        <f>ROUNDDOWN(G37*H37,2)</f>
        <v>0.68</v>
      </c>
    </row>
    <row r="38" spans="2:9" ht="35.1" customHeight="1">
      <c r="B38" s="299" t="s">
        <v>181</v>
      </c>
      <c r="C38" s="300" t="s">
        <v>182</v>
      </c>
      <c r="D38" s="300">
        <f>'Preços Insumos e Serviços'!D48</f>
        <v>88309</v>
      </c>
      <c r="E38" s="301" t="str">
        <f>'Preços Insumos e Serviços'!B48</f>
        <v>PEDREIRO COM ENCARGOS COMPLEMENTARES</v>
      </c>
      <c r="F38" s="300" t="str">
        <f>'Preços Insumos e Serviços'!E48</f>
        <v>H</v>
      </c>
      <c r="G38" s="306">
        <v>1.165</v>
      </c>
      <c r="H38" s="303">
        <f>'Preços Insumos e Serviços'!F48</f>
        <v>32.270000000000003</v>
      </c>
      <c r="I38" s="312">
        <f>ROUNDDOWN(G38*H38,2)</f>
        <v>37.590000000000003</v>
      </c>
    </row>
    <row r="39" spans="2:9" ht="35.1" customHeight="1">
      <c r="B39" s="299" t="s">
        <v>181</v>
      </c>
      <c r="C39" s="300" t="s">
        <v>182</v>
      </c>
      <c r="D39" s="300">
        <f>'Preços Insumos e Serviços'!D55</f>
        <v>88316</v>
      </c>
      <c r="E39" s="301" t="str">
        <f>'Preços Insumos e Serviços'!B55</f>
        <v>SERVENTE COM ENCARGOS COMPLEMENTARES</v>
      </c>
      <c r="F39" s="300" t="str">
        <f>'Preços Insumos e Serviços'!E55</f>
        <v>H</v>
      </c>
      <c r="G39" s="306">
        <v>0.23599999999999999</v>
      </c>
      <c r="H39" s="303">
        <f>'Preços Insumos e Serviços'!F55</f>
        <v>23.23</v>
      </c>
      <c r="I39" s="312">
        <f>ROUNDDOWN(G39*H39,2)</f>
        <v>5.48</v>
      </c>
    </row>
    <row r="40" spans="2:9" ht="24.95" customHeight="1">
      <c r="B40" s="566"/>
      <c r="C40" s="567"/>
      <c r="D40" s="567"/>
      <c r="E40" s="567"/>
      <c r="F40" s="568" t="s">
        <v>183</v>
      </c>
      <c r="G40" s="569"/>
      <c r="H40" s="570"/>
      <c r="I40" s="314">
        <f>ROUND(SUM(I36:I39),2)</f>
        <v>53.13</v>
      </c>
    </row>
  </sheetData>
  <mergeCells count="15">
    <mergeCell ref="E2:I2"/>
    <mergeCell ref="E3:I3"/>
    <mergeCell ref="E4:I4"/>
    <mergeCell ref="B6:I6"/>
    <mergeCell ref="B8:I8"/>
    <mergeCell ref="B32:E32"/>
    <mergeCell ref="F32:H32"/>
    <mergeCell ref="B40:E40"/>
    <mergeCell ref="F40:H40"/>
    <mergeCell ref="G10:H10"/>
    <mergeCell ref="C11:E11"/>
    <mergeCell ref="G11:I11"/>
    <mergeCell ref="F16:H16"/>
    <mergeCell ref="B28:E28"/>
    <mergeCell ref="F28:H28"/>
  </mergeCells>
  <printOptions horizontalCentered="1"/>
  <pageMargins left="0.78740157480314998" right="0.78740157480314998" top="0.78740157480314998" bottom="0.78740157480314998" header="0.31496062992126" footer="0.31496062992126"/>
  <pageSetup paperSize="9" scale="5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4506668294322"/>
  </sheetPr>
  <dimension ref="B2:G14"/>
  <sheetViews>
    <sheetView view="pageBreakPreview" zoomScaleNormal="100" workbookViewId="0">
      <selection activeCell="C6" sqref="C6:D7"/>
    </sheetView>
  </sheetViews>
  <sheetFormatPr defaultColWidth="9" defaultRowHeight="12.75"/>
  <cols>
    <col min="1" max="1" width="2.42578125" customWidth="1"/>
    <col min="2" max="2" width="15.28515625" customWidth="1"/>
    <col min="3" max="3" width="46.5703125" customWidth="1"/>
    <col min="4" max="4" width="11.5703125" customWidth="1"/>
    <col min="5" max="5" width="11.42578125" customWidth="1"/>
    <col min="6" max="6" width="18.85546875" customWidth="1"/>
    <col min="7" max="7" width="19.5703125" customWidth="1"/>
  </cols>
  <sheetData>
    <row r="2" spans="2:7" ht="26.45" customHeight="1">
      <c r="B2" s="589" t="s">
        <v>193</v>
      </c>
      <c r="C2" s="590"/>
      <c r="D2" s="590"/>
      <c r="E2" s="590"/>
      <c r="F2" s="590"/>
      <c r="G2" s="591"/>
    </row>
    <row r="3" spans="2:7" ht="15.75">
      <c r="B3" s="592" t="s">
        <v>194</v>
      </c>
      <c r="C3" s="593"/>
      <c r="D3" s="593"/>
      <c r="E3" s="593"/>
      <c r="F3" s="593"/>
      <c r="G3" s="594"/>
    </row>
    <row r="4" spans="2:7" ht="24.95" customHeight="1">
      <c r="B4" s="602" t="s">
        <v>195</v>
      </c>
      <c r="C4" s="606"/>
      <c r="D4" s="607"/>
      <c r="E4" s="607"/>
      <c r="F4" s="608"/>
      <c r="G4" s="271" t="s">
        <v>181</v>
      </c>
    </row>
    <row r="5" spans="2:7" ht="24.95" customHeight="1">
      <c r="B5" s="603"/>
      <c r="C5" s="609"/>
      <c r="D5" s="610"/>
      <c r="E5" s="610"/>
      <c r="F5" s="611"/>
      <c r="G5" s="272" t="s">
        <v>196</v>
      </c>
    </row>
    <row r="6" spans="2:7" ht="37.5" customHeight="1">
      <c r="B6" s="604" t="s">
        <v>197</v>
      </c>
      <c r="C6" s="612" t="s">
        <v>15</v>
      </c>
      <c r="D6" s="613"/>
      <c r="E6" s="595" t="s">
        <v>198</v>
      </c>
      <c r="F6" s="596"/>
      <c r="G6" s="271" t="s">
        <v>199</v>
      </c>
    </row>
    <row r="7" spans="2:7" ht="51.75" customHeight="1">
      <c r="B7" s="605"/>
      <c r="C7" s="614"/>
      <c r="D7" s="615"/>
      <c r="E7" s="597" t="s">
        <v>200</v>
      </c>
      <c r="F7" s="598"/>
      <c r="G7" s="273"/>
    </row>
    <row r="8" spans="2:7" ht="24.95" customHeight="1">
      <c r="B8" s="274" t="s">
        <v>201</v>
      </c>
      <c r="C8" s="275" t="s">
        <v>202</v>
      </c>
      <c r="D8" s="275" t="s">
        <v>102</v>
      </c>
      <c r="E8" s="276" t="s">
        <v>203</v>
      </c>
      <c r="F8" s="276" t="s">
        <v>204</v>
      </c>
      <c r="G8" s="277" t="s">
        <v>205</v>
      </c>
    </row>
    <row r="9" spans="2:7" ht="51" customHeight="1">
      <c r="B9" s="271" t="str">
        <f>'Preços Insumos e Serviços'!D61</f>
        <v>04683/ORSE</v>
      </c>
      <c r="C9" s="278" t="str">
        <f>'Preços Insumos e Serviços'!B61</f>
        <v>Ensaio - Limite de Liquidez</v>
      </c>
      <c r="D9" s="279" t="s">
        <v>102</v>
      </c>
      <c r="E9" s="280">
        <v>1</v>
      </c>
      <c r="F9" s="281">
        <f>'Preços Insumos e Serviços'!F61</f>
        <v>165</v>
      </c>
      <c r="G9" s="281">
        <f>F9*E9</f>
        <v>165</v>
      </c>
    </row>
    <row r="10" spans="2:7" ht="48" customHeight="1">
      <c r="B10" s="271" t="str">
        <f>'Preços Insumos e Serviços'!D62</f>
        <v>04684/ORSE</v>
      </c>
      <c r="C10" s="278" t="str">
        <f>'Preços Insumos e Serviços'!B62</f>
        <v>Ensaio - Limite de Plasticidade</v>
      </c>
      <c r="D10" s="279" t="s">
        <v>102</v>
      </c>
      <c r="E10" s="280">
        <v>1</v>
      </c>
      <c r="F10" s="281">
        <f>'Preços Insumos e Serviços'!F62</f>
        <v>165</v>
      </c>
      <c r="G10" s="281">
        <f>F10*E10</f>
        <v>165</v>
      </c>
    </row>
    <row r="11" spans="2:7" ht="49.5" customHeight="1">
      <c r="B11" s="271" t="str">
        <f>'Preços Insumos e Serviços'!D63</f>
        <v>04682/ORSE</v>
      </c>
      <c r="C11" s="278" t="str">
        <f>'Preços Insumos e Serviços'!B63</f>
        <v>Ensaio - Granulometria por Peneiramento</v>
      </c>
      <c r="D11" s="279" t="s">
        <v>102</v>
      </c>
      <c r="E11" s="280">
        <v>1</v>
      </c>
      <c r="F11" s="281">
        <f>'Preços Insumos e Serviços'!F63</f>
        <v>165</v>
      </c>
      <c r="G11" s="281">
        <f>F11*E11</f>
        <v>165</v>
      </c>
    </row>
    <row r="12" spans="2:7" ht="57" customHeight="1">
      <c r="B12" s="271" t="str">
        <f>'Preços Insumos e Serviços'!D64</f>
        <v>4685/ORSE</v>
      </c>
      <c r="C12" s="282" t="str">
        <f>'Preços Insumos e Serviços'!B64</f>
        <v>Ensaio - Compactação Proctor Normal com reuso de material (6 pontos)</v>
      </c>
      <c r="D12" s="279" t="s">
        <v>102</v>
      </c>
      <c r="E12" s="280">
        <v>1</v>
      </c>
      <c r="F12" s="281">
        <f>'Preços Insumos e Serviços'!F64</f>
        <v>220</v>
      </c>
      <c r="G12" s="281">
        <f>F12*E12</f>
        <v>220</v>
      </c>
    </row>
    <row r="13" spans="2:7" ht="45" customHeight="1">
      <c r="B13" s="271" t="str">
        <f>'Preços Insumos e Serviços'!D65</f>
        <v>6720/ORSE</v>
      </c>
      <c r="C13" s="278" t="str">
        <f>'Preços Insumos e Serviços'!B65</f>
        <v>Ensaio - Índice de Suporte Califórnia - CBR</v>
      </c>
      <c r="D13" s="279" t="s">
        <v>102</v>
      </c>
      <c r="E13" s="280">
        <v>1</v>
      </c>
      <c r="F13" s="281">
        <f>'Preços Insumos e Serviços'!F65</f>
        <v>285</v>
      </c>
      <c r="G13" s="281">
        <f>F13*E13</f>
        <v>285</v>
      </c>
    </row>
    <row r="14" spans="2:7" ht="24.95" customHeight="1">
      <c r="B14" s="599" t="s">
        <v>206</v>
      </c>
      <c r="C14" s="600"/>
      <c r="D14" s="600"/>
      <c r="E14" s="600"/>
      <c r="F14" s="601"/>
      <c r="G14" s="283">
        <f>SUM(G9:G13)</f>
        <v>1000</v>
      </c>
    </row>
  </sheetData>
  <mergeCells count="9">
    <mergeCell ref="B2:G2"/>
    <mergeCell ref="B3:G3"/>
    <mergeCell ref="E6:F6"/>
    <mergeCell ref="E7:F7"/>
    <mergeCell ref="B14:F14"/>
    <mergeCell ref="B4:B5"/>
    <mergeCell ref="B6:B7"/>
    <mergeCell ref="C4:F5"/>
    <mergeCell ref="C6:D7"/>
  </mergeCells>
  <pageMargins left="0.511811023622047" right="0.511811023622047" top="0.78740157480314998" bottom="0.78740157480314998" header="0.31496062992126" footer="0.31496062992126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4506668294322"/>
    <pageSetUpPr fitToPage="1"/>
  </sheetPr>
  <dimension ref="A1:I413"/>
  <sheetViews>
    <sheetView view="pageBreakPreview" topLeftCell="A349" zoomScaleNormal="100" workbookViewId="0">
      <selection activeCell="B353" sqref="B353:G353"/>
    </sheetView>
  </sheetViews>
  <sheetFormatPr defaultColWidth="9" defaultRowHeight="14.25"/>
  <cols>
    <col min="1" max="1" width="14.28515625" style="175" customWidth="1"/>
    <col min="2" max="2" width="78.7109375" style="175" customWidth="1"/>
    <col min="3" max="3" width="15.140625" style="175" customWidth="1"/>
    <col min="4" max="4" width="13.42578125" style="175" customWidth="1"/>
    <col min="5" max="5" width="13.85546875" style="175" customWidth="1"/>
    <col min="6" max="7" width="16.5703125" style="175" customWidth="1"/>
    <col min="8" max="8" width="13.28515625" style="175" customWidth="1"/>
    <col min="9" max="9" width="19.85546875" style="175" customWidth="1"/>
    <col min="10" max="16384" width="9" style="175"/>
  </cols>
  <sheetData>
    <row r="1" spans="1:9" ht="15.75">
      <c r="A1" s="638" t="s">
        <v>207</v>
      </c>
      <c r="B1" s="638"/>
      <c r="C1" s="638"/>
      <c r="D1" s="638"/>
      <c r="E1" s="638"/>
      <c r="F1" s="638"/>
      <c r="G1" s="638"/>
      <c r="H1" s="618"/>
      <c r="I1" s="618"/>
    </row>
    <row r="2" spans="1:9" ht="15.75">
      <c r="A2" s="638" t="s">
        <v>208</v>
      </c>
      <c r="B2" s="638"/>
      <c r="C2" s="638"/>
      <c r="D2" s="638"/>
      <c r="E2" s="638"/>
      <c r="F2" s="638"/>
      <c r="G2" s="638"/>
      <c r="H2" s="618"/>
      <c r="I2" s="618"/>
    </row>
    <row r="3" spans="1:9" ht="15.75">
      <c r="A3" s="638" t="s">
        <v>209</v>
      </c>
      <c r="B3" s="638"/>
      <c r="C3" s="638"/>
      <c r="D3" s="638"/>
      <c r="E3" s="638"/>
      <c r="F3" s="638"/>
      <c r="G3" s="638"/>
      <c r="H3" s="618"/>
      <c r="I3" s="618"/>
    </row>
    <row r="5" spans="1:9" ht="63" customHeight="1">
      <c r="A5" s="639" t="s">
        <v>15</v>
      </c>
      <c r="B5" s="640"/>
      <c r="C5" s="640"/>
      <c r="D5" s="640"/>
      <c r="E5" s="640"/>
      <c r="F5" s="640"/>
      <c r="G5" s="640"/>
      <c r="H5" s="640"/>
      <c r="I5" s="641"/>
    </row>
    <row r="7" spans="1:9" s="2" customFormat="1" ht="23.25" customHeight="1">
      <c r="A7" s="176" t="s">
        <v>210</v>
      </c>
      <c r="B7" s="177"/>
      <c r="C7" s="177"/>
      <c r="D7" s="177"/>
      <c r="E7" s="177"/>
      <c r="F7" s="177"/>
      <c r="G7" s="177"/>
      <c r="H7" s="177"/>
      <c r="I7" s="208" t="s">
        <v>211</v>
      </c>
    </row>
    <row r="8" spans="1:9" s="2" customFormat="1" ht="18.75" customHeight="1">
      <c r="A8" s="178" t="s">
        <v>212</v>
      </c>
      <c r="B8" s="179"/>
      <c r="C8" s="179"/>
      <c r="D8" s="180" t="s">
        <v>213</v>
      </c>
      <c r="E8" s="179"/>
      <c r="F8" s="179"/>
      <c r="G8" s="179"/>
      <c r="H8" s="179"/>
      <c r="I8" s="209"/>
    </row>
    <row r="9" spans="1:9" s="2" customFormat="1" ht="15.75" customHeight="1">
      <c r="A9" s="181" t="s">
        <v>214</v>
      </c>
      <c r="B9" s="182"/>
      <c r="C9" s="182"/>
      <c r="D9" s="183">
        <v>45383</v>
      </c>
      <c r="E9" s="182"/>
      <c r="F9" s="182"/>
      <c r="G9" s="184" t="s">
        <v>215</v>
      </c>
      <c r="H9" s="185">
        <v>1</v>
      </c>
      <c r="I9" s="210" t="s">
        <v>86</v>
      </c>
    </row>
    <row r="10" spans="1:9" s="2" customFormat="1" ht="48" customHeight="1">
      <c r="A10" s="186" t="s">
        <v>216</v>
      </c>
      <c r="B10" s="632" t="s">
        <v>118</v>
      </c>
      <c r="C10" s="632"/>
      <c r="D10" s="632"/>
      <c r="E10" s="632"/>
      <c r="F10" s="632"/>
      <c r="G10" s="632"/>
      <c r="H10" s="633" t="s">
        <v>217</v>
      </c>
      <c r="I10" s="634"/>
    </row>
    <row r="11" spans="1:9" s="2" customFormat="1" ht="15.75" customHeight="1">
      <c r="A11" s="619" t="s">
        <v>218</v>
      </c>
      <c r="B11" s="620"/>
      <c r="C11" s="623" t="s">
        <v>219</v>
      </c>
      <c r="D11" s="623" t="s">
        <v>220</v>
      </c>
      <c r="E11" s="623"/>
      <c r="F11" s="623" t="s">
        <v>221</v>
      </c>
      <c r="G11" s="623"/>
      <c r="H11" s="182"/>
      <c r="I11" s="211" t="s">
        <v>222</v>
      </c>
    </row>
    <row r="12" spans="1:9" s="2" customFormat="1" ht="15.75" customHeight="1">
      <c r="A12" s="619"/>
      <c r="B12" s="620"/>
      <c r="C12" s="623"/>
      <c r="D12" s="188" t="s">
        <v>223</v>
      </c>
      <c r="E12" s="188" t="s">
        <v>224</v>
      </c>
      <c r="F12" s="188" t="s">
        <v>225</v>
      </c>
      <c r="G12" s="188" t="s">
        <v>226</v>
      </c>
      <c r="H12" s="189"/>
      <c r="I12" s="212" t="s">
        <v>227</v>
      </c>
    </row>
    <row r="13" spans="1:9" s="2" customFormat="1" ht="24.95" customHeight="1">
      <c r="A13" s="190"/>
      <c r="B13" s="189"/>
      <c r="C13" s="189"/>
      <c r="D13" s="189"/>
      <c r="E13" s="189"/>
      <c r="F13" s="189"/>
      <c r="G13" s="191" t="s">
        <v>228</v>
      </c>
      <c r="H13" s="189"/>
      <c r="I13" s="213"/>
    </row>
    <row r="14" spans="1:9" s="2" customFormat="1" ht="15.75" customHeight="1">
      <c r="A14" s="187" t="s">
        <v>229</v>
      </c>
      <c r="B14" s="189"/>
      <c r="C14" s="188" t="s">
        <v>219</v>
      </c>
      <c r="D14" s="188" t="s">
        <v>230</v>
      </c>
      <c r="E14" s="189"/>
      <c r="F14" s="188" t="s">
        <v>221</v>
      </c>
      <c r="G14" s="629" t="s">
        <v>231</v>
      </c>
      <c r="H14" s="629"/>
      <c r="I14" s="630"/>
    </row>
    <row r="15" spans="1:9" s="2" customFormat="1">
      <c r="A15" s="192">
        <f>'Preços Insumos e Serviços'!D48</f>
        <v>88309</v>
      </c>
      <c r="B15" s="193" t="str">
        <f>'Preços Insumos e Serviços'!B48</f>
        <v>PEDREIRO COM ENCARGOS COMPLEMENTARES</v>
      </c>
      <c r="C15" s="194">
        <v>1</v>
      </c>
      <c r="D15" s="195" t="s">
        <v>232</v>
      </c>
      <c r="E15" s="196"/>
      <c r="F15" s="197">
        <f>'Preços Insumos e Serviços'!F48</f>
        <v>32.270000000000003</v>
      </c>
      <c r="G15" s="196"/>
      <c r="H15" s="196"/>
      <c r="I15" s="214">
        <f>C15*F15</f>
        <v>32.270000000000003</v>
      </c>
    </row>
    <row r="16" spans="1:9" s="2" customFormat="1">
      <c r="A16" s="192">
        <f>'Preços Insumos e Serviços'!D55</f>
        <v>88316</v>
      </c>
      <c r="B16" s="193" t="str">
        <f>'Preços Insumos e Serviços'!B55</f>
        <v>SERVENTE COM ENCARGOS COMPLEMENTARES</v>
      </c>
      <c r="C16" s="194">
        <v>4</v>
      </c>
      <c r="D16" s="195" t="s">
        <v>232</v>
      </c>
      <c r="E16" s="196"/>
      <c r="F16" s="197">
        <f>'Preços Insumos e Serviços'!F55</f>
        <v>23.23</v>
      </c>
      <c r="G16" s="196"/>
      <c r="H16" s="196"/>
      <c r="I16" s="214">
        <f>C16*F16</f>
        <v>92.92</v>
      </c>
    </row>
    <row r="17" spans="1:9" s="2" customFormat="1" ht="15.75" customHeight="1">
      <c r="A17" s="198"/>
      <c r="B17" s="182"/>
      <c r="C17" s="631" t="s">
        <v>233</v>
      </c>
      <c r="D17" s="631"/>
      <c r="E17" s="631"/>
      <c r="F17" s="631"/>
      <c r="G17" s="631"/>
      <c r="H17" s="182"/>
      <c r="I17" s="215">
        <f>ROUND(I15+I16,4)</f>
        <v>125.19</v>
      </c>
    </row>
    <row r="18" spans="1:9" s="2" customFormat="1" ht="15.75" customHeight="1">
      <c r="A18" s="190"/>
      <c r="B18" s="189"/>
      <c r="C18" s="629" t="s">
        <v>234</v>
      </c>
      <c r="D18" s="629"/>
      <c r="E18" s="629"/>
      <c r="F18" s="629"/>
      <c r="G18" s="629"/>
      <c r="H18" s="189"/>
      <c r="I18" s="216">
        <f>ROUND(I17,4)</f>
        <v>125.19</v>
      </c>
    </row>
    <row r="19" spans="1:9" s="2" customFormat="1" ht="15.75" customHeight="1">
      <c r="A19" s="198"/>
      <c r="B19" s="182"/>
      <c r="C19" s="631" t="s">
        <v>235</v>
      </c>
      <c r="D19" s="631"/>
      <c r="E19" s="631"/>
      <c r="F19" s="631"/>
      <c r="G19" s="631"/>
      <c r="H19" s="182"/>
      <c r="I19" s="217">
        <f>ROUND(I18/H9,4)</f>
        <v>125.19</v>
      </c>
    </row>
    <row r="20" spans="1:9" s="2" customFormat="1" ht="15.75" customHeight="1">
      <c r="A20" s="198"/>
      <c r="B20" s="182"/>
      <c r="C20" s="182"/>
      <c r="D20" s="182"/>
      <c r="E20" s="182"/>
      <c r="F20" s="182"/>
      <c r="G20" s="199" t="s">
        <v>236</v>
      </c>
      <c r="H20" s="182"/>
      <c r="I20" s="218" t="s">
        <v>237</v>
      </c>
    </row>
    <row r="21" spans="1:9" s="2" customFormat="1" ht="15.75" customHeight="1">
      <c r="A21" s="190"/>
      <c r="B21" s="189"/>
      <c r="C21" s="189"/>
      <c r="D21" s="189"/>
      <c r="E21" s="189"/>
      <c r="F21" s="189"/>
      <c r="G21" s="191" t="s">
        <v>238</v>
      </c>
      <c r="H21" s="189"/>
      <c r="I21" s="216" t="s">
        <v>237</v>
      </c>
    </row>
    <row r="22" spans="1:9" s="2" customFormat="1" ht="15.75" customHeight="1">
      <c r="A22" s="187" t="s">
        <v>239</v>
      </c>
      <c r="B22" s="189"/>
      <c r="C22" s="188" t="s">
        <v>219</v>
      </c>
      <c r="D22" s="188" t="s">
        <v>230</v>
      </c>
      <c r="E22" s="189"/>
      <c r="F22" s="188" t="s">
        <v>240</v>
      </c>
      <c r="G22" s="629" t="s">
        <v>241</v>
      </c>
      <c r="H22" s="629"/>
      <c r="I22" s="630"/>
    </row>
    <row r="23" spans="1:9" s="2" customFormat="1">
      <c r="A23" s="200" t="str">
        <f>'Preços Insumos e Serviços'!D23</f>
        <v>M1097</v>
      </c>
      <c r="B23" s="201" t="str">
        <f>'Preços Insumos e Serviços'!B23</f>
        <v>Pedra de mão ou rachão</v>
      </c>
      <c r="C23" s="202">
        <v>1.2</v>
      </c>
      <c r="D23" s="203" t="s">
        <v>86</v>
      </c>
      <c r="E23" s="182"/>
      <c r="F23" s="204">
        <f>'Preços Insumos e Serviços'!F23</f>
        <v>133.7893</v>
      </c>
      <c r="G23" s="182"/>
      <c r="H23" s="182"/>
      <c r="I23" s="215">
        <f>ROUND(C23*F23,4)</f>
        <v>160.5472</v>
      </c>
    </row>
    <row r="24" spans="1:9" s="2" customFormat="1" ht="15.75" customHeight="1">
      <c r="A24" s="190"/>
      <c r="B24" s="189"/>
      <c r="C24" s="629" t="s">
        <v>242</v>
      </c>
      <c r="D24" s="629"/>
      <c r="E24" s="629"/>
      <c r="F24" s="629"/>
      <c r="G24" s="629"/>
      <c r="H24" s="189"/>
      <c r="I24" s="213">
        <f>ROUND(I23,4)</f>
        <v>160.5472</v>
      </c>
    </row>
    <row r="25" spans="1:9" s="2" customFormat="1" ht="15.75" customHeight="1">
      <c r="A25" s="187" t="s">
        <v>243</v>
      </c>
      <c r="B25" s="189"/>
      <c r="C25" s="188" t="s">
        <v>219</v>
      </c>
      <c r="D25" s="188" t="s">
        <v>230</v>
      </c>
      <c r="E25" s="189"/>
      <c r="F25" s="188" t="s">
        <v>241</v>
      </c>
      <c r="G25" s="629" t="s">
        <v>241</v>
      </c>
      <c r="H25" s="629"/>
      <c r="I25" s="630"/>
    </row>
    <row r="26" spans="1:9" s="2" customFormat="1" ht="28.5">
      <c r="A26" s="200">
        <f>'Preços Insumos e Serviços'!D4</f>
        <v>1109669</v>
      </c>
      <c r="B26" s="201" t="str">
        <f>'Preços Insumos e Serviços'!B4</f>
        <v>Argamassa de cimento e areia 1:3 - confecção em betoneira e lançamento manual - areia comercial</v>
      </c>
      <c r="C26" s="202">
        <v>0.31558999999999998</v>
      </c>
      <c r="D26" s="203" t="s">
        <v>86</v>
      </c>
      <c r="E26" s="182"/>
      <c r="F26" s="204">
        <f>'Preços Insumos e Serviços'!F4</f>
        <v>529.15</v>
      </c>
      <c r="G26" s="182"/>
      <c r="H26" s="182"/>
      <c r="I26" s="215">
        <f>ROUND(C26*F26,4)</f>
        <v>166.99440000000001</v>
      </c>
    </row>
    <row r="27" spans="1:9" s="2" customFormat="1" ht="15.75" customHeight="1">
      <c r="A27" s="190"/>
      <c r="B27" s="189"/>
      <c r="C27" s="629" t="s">
        <v>244</v>
      </c>
      <c r="D27" s="629"/>
      <c r="E27" s="629"/>
      <c r="F27" s="629"/>
      <c r="G27" s="629"/>
      <c r="H27" s="189"/>
      <c r="I27" s="213">
        <f>ROUND(I26,4)</f>
        <v>166.99440000000001</v>
      </c>
    </row>
    <row r="28" spans="1:9" s="2" customFormat="1" ht="15.75" customHeight="1">
      <c r="A28" s="190"/>
      <c r="B28" s="189"/>
      <c r="C28" s="189"/>
      <c r="D28" s="189"/>
      <c r="E28" s="189"/>
      <c r="F28" s="189"/>
      <c r="G28" s="191" t="s">
        <v>245</v>
      </c>
      <c r="H28" s="189"/>
      <c r="I28" s="216">
        <f>ROUND(I19+I24+I27,4)</f>
        <v>452.73160000000001</v>
      </c>
    </row>
    <row r="29" spans="1:9" s="2" customFormat="1" ht="15.75" customHeight="1">
      <c r="A29" s="187" t="s">
        <v>246</v>
      </c>
      <c r="B29" s="189"/>
      <c r="C29" s="188" t="s">
        <v>201</v>
      </c>
      <c r="D29" s="188" t="s">
        <v>219</v>
      </c>
      <c r="E29" s="188" t="s">
        <v>230</v>
      </c>
      <c r="F29" s="189"/>
      <c r="G29" s="188" t="s">
        <v>241</v>
      </c>
      <c r="H29" s="629" t="s">
        <v>241</v>
      </c>
      <c r="I29" s="630"/>
    </row>
    <row r="30" spans="1:9" s="2" customFormat="1">
      <c r="A30" s="200" t="str">
        <f>A23</f>
        <v>M1097</v>
      </c>
      <c r="B30" s="201" t="str">
        <f>'Preços Insumos e Serviços'!B24</f>
        <v>Pedra de mão ou rachão - Caminhão basculante 10 m³</v>
      </c>
      <c r="C30" s="203">
        <f>'Preços Insumos e Serviços'!D24</f>
        <v>5914647</v>
      </c>
      <c r="D30" s="202">
        <v>1.8</v>
      </c>
      <c r="E30" s="203" t="s">
        <v>247</v>
      </c>
      <c r="F30" s="182"/>
      <c r="G30" s="204">
        <v>1.61</v>
      </c>
      <c r="H30" s="182"/>
      <c r="I30" s="215">
        <f>ROUND(D30*G30,4)</f>
        <v>2.8980000000000001</v>
      </c>
    </row>
    <row r="31" spans="1:9" s="2" customFormat="1" ht="15.75" customHeight="1">
      <c r="A31" s="190"/>
      <c r="B31" s="189"/>
      <c r="C31" s="629" t="s">
        <v>248</v>
      </c>
      <c r="D31" s="629"/>
      <c r="E31" s="629"/>
      <c r="F31" s="629"/>
      <c r="G31" s="629"/>
      <c r="H31" s="189"/>
      <c r="I31" s="216">
        <v>2.8980000000000001</v>
      </c>
    </row>
    <row r="32" spans="1:9" s="2" customFormat="1" ht="15.75" customHeight="1">
      <c r="A32" s="619" t="s">
        <v>249</v>
      </c>
      <c r="B32" s="620"/>
      <c r="C32" s="623" t="s">
        <v>219</v>
      </c>
      <c r="D32" s="623" t="s">
        <v>230</v>
      </c>
      <c r="E32" s="623" t="s">
        <v>250</v>
      </c>
      <c r="F32" s="623"/>
      <c r="G32" s="623"/>
      <c r="H32" s="182"/>
      <c r="I32" s="630" t="s">
        <v>241</v>
      </c>
    </row>
    <row r="33" spans="1:9" s="2" customFormat="1" ht="15.75" customHeight="1">
      <c r="A33" s="619"/>
      <c r="B33" s="620"/>
      <c r="C33" s="623"/>
      <c r="D33" s="623"/>
      <c r="E33" s="188" t="s">
        <v>251</v>
      </c>
      <c r="F33" s="188" t="s">
        <v>252</v>
      </c>
      <c r="G33" s="188" t="s">
        <v>253</v>
      </c>
      <c r="H33" s="189"/>
      <c r="I33" s="630"/>
    </row>
    <row r="34" spans="1:9" s="2" customFormat="1">
      <c r="A34" s="200" t="s">
        <v>254</v>
      </c>
      <c r="B34" s="201" t="str">
        <f>B30</f>
        <v>Pedra de mão ou rachão - Caminhão basculante 10 m³</v>
      </c>
      <c r="C34" s="202">
        <v>1.8</v>
      </c>
      <c r="D34" s="203" t="s">
        <v>255</v>
      </c>
      <c r="E34" s="203" t="s">
        <v>256</v>
      </c>
      <c r="F34" s="203" t="s">
        <v>257</v>
      </c>
      <c r="G34" s="203" t="s">
        <v>258</v>
      </c>
      <c r="H34" s="182"/>
      <c r="I34" s="219"/>
    </row>
    <row r="35" spans="1:9" s="2" customFormat="1" ht="24.95" customHeight="1">
      <c r="A35" s="198"/>
      <c r="B35" s="182"/>
      <c r="C35" s="631" t="s">
        <v>259</v>
      </c>
      <c r="D35" s="631"/>
      <c r="E35" s="631"/>
      <c r="F35" s="631"/>
      <c r="G35" s="631"/>
      <c r="H35" s="182"/>
      <c r="I35" s="219"/>
    </row>
    <row r="36" spans="1:9" s="2" customFormat="1" ht="15.75" customHeight="1">
      <c r="A36" s="190"/>
      <c r="B36" s="189"/>
      <c r="C36" s="189"/>
      <c r="D36" s="189"/>
      <c r="E36" s="629" t="s">
        <v>260</v>
      </c>
      <c r="F36" s="629"/>
      <c r="G36" s="629"/>
      <c r="H36" s="189"/>
      <c r="I36" s="220">
        <f>ROUND(I28+I31,2)</f>
        <v>455.63</v>
      </c>
    </row>
    <row r="38" spans="1:9" s="2" customFormat="1" ht="23.25" customHeight="1">
      <c r="A38" s="176" t="s">
        <v>210</v>
      </c>
      <c r="B38" s="177"/>
      <c r="C38" s="177"/>
      <c r="D38" s="177"/>
      <c r="E38" s="177"/>
      <c r="F38" s="177"/>
      <c r="G38" s="177"/>
      <c r="H38" s="177"/>
      <c r="I38" s="208" t="s">
        <v>211</v>
      </c>
    </row>
    <row r="39" spans="1:9" s="2" customFormat="1" ht="18.75" customHeight="1">
      <c r="A39" s="178" t="s">
        <v>212</v>
      </c>
      <c r="B39" s="179"/>
      <c r="C39" s="179"/>
      <c r="D39" s="180" t="s">
        <v>213</v>
      </c>
      <c r="E39" s="179"/>
      <c r="F39" s="179"/>
      <c r="G39" s="205" t="s">
        <v>261</v>
      </c>
      <c r="H39" s="206">
        <v>0</v>
      </c>
      <c r="I39" s="209"/>
    </row>
    <row r="40" spans="1:9" s="2" customFormat="1" ht="15.75" customHeight="1">
      <c r="A40" s="181" t="s">
        <v>214</v>
      </c>
      <c r="B40" s="182"/>
      <c r="C40" s="182"/>
      <c r="D40" s="183">
        <v>45383</v>
      </c>
      <c r="E40" s="182"/>
      <c r="F40" s="182"/>
      <c r="G40" s="184" t="s">
        <v>215</v>
      </c>
      <c r="H40" s="185">
        <v>9.9600000000000009</v>
      </c>
      <c r="I40" s="210" t="s">
        <v>78</v>
      </c>
    </row>
    <row r="41" spans="1:9" s="2" customFormat="1" ht="48.75" customHeight="1">
      <c r="A41" s="186" t="s">
        <v>262</v>
      </c>
      <c r="B41" s="632" t="s">
        <v>109</v>
      </c>
      <c r="C41" s="632"/>
      <c r="D41" s="632"/>
      <c r="E41" s="632"/>
      <c r="F41" s="632"/>
      <c r="G41" s="632"/>
      <c r="H41" s="633" t="s">
        <v>217</v>
      </c>
      <c r="I41" s="634"/>
    </row>
    <row r="42" spans="1:9" s="2" customFormat="1" ht="15.75" customHeight="1">
      <c r="A42" s="619" t="s">
        <v>218</v>
      </c>
      <c r="B42" s="620"/>
      <c r="C42" s="623" t="s">
        <v>219</v>
      </c>
      <c r="D42" s="623" t="s">
        <v>220</v>
      </c>
      <c r="E42" s="623"/>
      <c r="F42" s="623" t="s">
        <v>221</v>
      </c>
      <c r="G42" s="623"/>
      <c r="H42" s="182"/>
      <c r="I42" s="211" t="s">
        <v>222</v>
      </c>
    </row>
    <row r="43" spans="1:9" s="2" customFormat="1" ht="15.75" customHeight="1">
      <c r="A43" s="619"/>
      <c r="B43" s="620"/>
      <c r="C43" s="623"/>
      <c r="D43" s="188" t="s">
        <v>223</v>
      </c>
      <c r="E43" s="188" t="s">
        <v>224</v>
      </c>
      <c r="F43" s="188" t="s">
        <v>225</v>
      </c>
      <c r="G43" s="188" t="s">
        <v>226</v>
      </c>
      <c r="H43" s="189"/>
      <c r="I43" s="212" t="s">
        <v>227</v>
      </c>
    </row>
    <row r="44" spans="1:9" s="2" customFormat="1">
      <c r="A44" s="200" t="str">
        <f>'Preços Insumos e Serviços'!D9</f>
        <v>E9686</v>
      </c>
      <c r="B44" s="201" t="str">
        <f>'Preços Insumos e Serviços'!B9</f>
        <v>Caminhão carroceria com guindauto com capacidade de 20 t.m - 136 kW</v>
      </c>
      <c r="C44" s="202">
        <v>1</v>
      </c>
      <c r="D44" s="207">
        <v>1</v>
      </c>
      <c r="E44" s="207">
        <v>0</v>
      </c>
      <c r="F44" s="204">
        <f>'Preços Insumos e Serviços'!F9</f>
        <v>318.8494</v>
      </c>
      <c r="G44" s="204">
        <f>'Preços Insumos e Serviços'!G9</f>
        <v>129.3117</v>
      </c>
      <c r="H44" s="182"/>
      <c r="I44" s="215">
        <f>(((D44*F44)+(E44*G44))*C44)</f>
        <v>318.8494</v>
      </c>
    </row>
    <row r="45" spans="1:9" s="2" customFormat="1" ht="15.75" customHeight="1">
      <c r="A45" s="190"/>
      <c r="B45" s="189"/>
      <c r="C45" s="189"/>
      <c r="D45" s="189"/>
      <c r="E45" s="189"/>
      <c r="F45" s="189"/>
      <c r="G45" s="191" t="s">
        <v>228</v>
      </c>
      <c r="H45" s="189"/>
      <c r="I45" s="213">
        <f>SUM(I44)</f>
        <v>318.8494</v>
      </c>
    </row>
    <row r="46" spans="1:9" s="2" customFormat="1" ht="15.75" customHeight="1">
      <c r="A46" s="187" t="s">
        <v>229</v>
      </c>
      <c r="B46" s="189"/>
      <c r="C46" s="188" t="s">
        <v>219</v>
      </c>
      <c r="D46" s="188" t="s">
        <v>230</v>
      </c>
      <c r="E46" s="189"/>
      <c r="F46" s="188" t="s">
        <v>221</v>
      </c>
      <c r="G46" s="629" t="s">
        <v>231</v>
      </c>
      <c r="H46" s="629"/>
      <c r="I46" s="630"/>
    </row>
    <row r="47" spans="1:9" s="2" customFormat="1">
      <c r="A47" s="192">
        <f>'Preços Insumos e Serviços'!D48</f>
        <v>88309</v>
      </c>
      <c r="B47" s="193" t="str">
        <f>'Preços Insumos e Serviços'!B48</f>
        <v>PEDREIRO COM ENCARGOS COMPLEMENTARES</v>
      </c>
      <c r="C47" s="194">
        <v>1</v>
      </c>
      <c r="D47" s="195" t="s">
        <v>232</v>
      </c>
      <c r="E47" s="196"/>
      <c r="F47" s="197">
        <f>'Preços Insumos e Serviços'!F48</f>
        <v>32.270000000000003</v>
      </c>
      <c r="G47" s="196"/>
      <c r="H47" s="196"/>
      <c r="I47" s="214">
        <f>C47*F47</f>
        <v>32.270000000000003</v>
      </c>
    </row>
    <row r="48" spans="1:9" s="2" customFormat="1">
      <c r="A48" s="192">
        <f>'Preços Insumos e Serviços'!D55</f>
        <v>88316</v>
      </c>
      <c r="B48" s="193" t="str">
        <f>'Preços Insumos e Serviços'!B55</f>
        <v>SERVENTE COM ENCARGOS COMPLEMENTARES</v>
      </c>
      <c r="C48" s="194">
        <v>3</v>
      </c>
      <c r="D48" s="195" t="s">
        <v>232</v>
      </c>
      <c r="E48" s="196"/>
      <c r="F48" s="197">
        <f>'Preços Insumos e Serviços'!F55</f>
        <v>23.23</v>
      </c>
      <c r="G48" s="196"/>
      <c r="H48" s="196"/>
      <c r="I48" s="214">
        <f>C48*F48</f>
        <v>69.69</v>
      </c>
    </row>
    <row r="49" spans="1:9" s="2" customFormat="1" ht="15.75" customHeight="1">
      <c r="A49" s="198"/>
      <c r="B49" s="182"/>
      <c r="C49" s="631" t="s">
        <v>233</v>
      </c>
      <c r="D49" s="631"/>
      <c r="E49" s="631"/>
      <c r="F49" s="631"/>
      <c r="G49" s="631"/>
      <c r="H49" s="182"/>
      <c r="I49" s="215">
        <f>ROUND(I47+I48,4)</f>
        <v>101.96</v>
      </c>
    </row>
    <row r="50" spans="1:9" s="2" customFormat="1" ht="15.75" customHeight="1">
      <c r="A50" s="190"/>
      <c r="B50" s="189"/>
      <c r="C50" s="629" t="s">
        <v>234</v>
      </c>
      <c r="D50" s="629"/>
      <c r="E50" s="629"/>
      <c r="F50" s="629"/>
      <c r="G50" s="629"/>
      <c r="H50" s="189"/>
      <c r="I50" s="216">
        <f>ROUND(I45+I49,4)</f>
        <v>420.80939999999998</v>
      </c>
    </row>
    <row r="51" spans="1:9" s="2" customFormat="1" ht="15.75" customHeight="1">
      <c r="A51" s="198"/>
      <c r="B51" s="182"/>
      <c r="C51" s="631" t="s">
        <v>235</v>
      </c>
      <c r="D51" s="631"/>
      <c r="E51" s="631"/>
      <c r="F51" s="631"/>
      <c r="G51" s="631"/>
      <c r="H51" s="182"/>
      <c r="I51" s="217">
        <f>ROUND(I50/H40,4)</f>
        <v>42.249899999999997</v>
      </c>
    </row>
    <row r="52" spans="1:9" s="2" customFormat="1" ht="15.75" customHeight="1">
      <c r="A52" s="198"/>
      <c r="B52" s="182"/>
      <c r="C52" s="182"/>
      <c r="D52" s="182"/>
      <c r="E52" s="182"/>
      <c r="F52" s="182"/>
      <c r="G52" s="199" t="s">
        <v>236</v>
      </c>
      <c r="H52" s="182"/>
      <c r="I52" s="218" t="s">
        <v>237</v>
      </c>
    </row>
    <row r="53" spans="1:9" s="2" customFormat="1" ht="15.75" customHeight="1">
      <c r="A53" s="190"/>
      <c r="B53" s="189"/>
      <c r="C53" s="189"/>
      <c r="D53" s="189"/>
      <c r="E53" s="189"/>
      <c r="F53" s="189"/>
      <c r="G53" s="191" t="s">
        <v>238</v>
      </c>
      <c r="H53" s="189"/>
      <c r="I53" s="216" t="s">
        <v>237</v>
      </c>
    </row>
    <row r="54" spans="1:9" s="2" customFormat="1" ht="15.75" customHeight="1">
      <c r="A54" s="187" t="s">
        <v>239</v>
      </c>
      <c r="B54" s="189"/>
      <c r="C54" s="188" t="s">
        <v>219</v>
      </c>
      <c r="D54" s="188" t="s">
        <v>230</v>
      </c>
      <c r="E54" s="189"/>
      <c r="F54" s="188" t="s">
        <v>240</v>
      </c>
      <c r="G54" s="629" t="s">
        <v>241</v>
      </c>
      <c r="H54" s="629"/>
      <c r="I54" s="630"/>
    </row>
    <row r="55" spans="1:9" s="2" customFormat="1">
      <c r="A55" s="200" t="str">
        <f>'Preços Insumos e Serviços'!D32</f>
        <v>M2187</v>
      </c>
      <c r="B55" s="201" t="str">
        <f>'Preços Insumos e Serviços'!B32</f>
        <v>Tubo de concreto armado PA1 - D = 0,50 m</v>
      </c>
      <c r="C55" s="202">
        <v>1</v>
      </c>
      <c r="D55" s="203" t="s">
        <v>78</v>
      </c>
      <c r="E55" s="182"/>
      <c r="F55" s="204">
        <f>'Preços Insumos e Serviços'!F32</f>
        <v>185.25</v>
      </c>
      <c r="G55" s="182"/>
      <c r="H55" s="182"/>
      <c r="I55" s="215">
        <f>ROUND(C55*F55,4)</f>
        <v>185.25</v>
      </c>
    </row>
    <row r="56" spans="1:9" s="2" customFormat="1" ht="15.75" customHeight="1">
      <c r="A56" s="190"/>
      <c r="B56" s="189"/>
      <c r="C56" s="629" t="s">
        <v>242</v>
      </c>
      <c r="D56" s="629"/>
      <c r="E56" s="629"/>
      <c r="F56" s="629"/>
      <c r="G56" s="629"/>
      <c r="H56" s="189"/>
      <c r="I56" s="213">
        <f>ROUND(I55,4)</f>
        <v>185.25</v>
      </c>
    </row>
    <row r="57" spans="1:9" s="2" customFormat="1" ht="15.75" customHeight="1">
      <c r="A57" s="187" t="s">
        <v>243</v>
      </c>
      <c r="B57" s="189"/>
      <c r="C57" s="188" t="s">
        <v>219</v>
      </c>
      <c r="D57" s="188" t="s">
        <v>230</v>
      </c>
      <c r="E57" s="189"/>
      <c r="F57" s="188" t="s">
        <v>241</v>
      </c>
      <c r="G57" s="629" t="s">
        <v>241</v>
      </c>
      <c r="H57" s="629"/>
      <c r="I57" s="630"/>
    </row>
    <row r="58" spans="1:9" s="2" customFormat="1" ht="28.5">
      <c r="A58" s="200">
        <f>'Preços Insumos e Serviços'!D4</f>
        <v>1109669</v>
      </c>
      <c r="B58" s="201" t="str">
        <f>'Preços Insumos e Serviços'!B4</f>
        <v>Argamassa de cimento e areia 1:3 - confecção em betoneira e lançamento manual - areia comercial</v>
      </c>
      <c r="C58" s="202">
        <v>2.49E-3</v>
      </c>
      <c r="D58" s="203" t="s">
        <v>86</v>
      </c>
      <c r="E58" s="182"/>
      <c r="F58" s="204">
        <f>'Preços Insumos e Serviços'!F4</f>
        <v>529.15</v>
      </c>
      <c r="G58" s="182"/>
      <c r="H58" s="182"/>
      <c r="I58" s="215">
        <f>ROUND(C58*F58,4)</f>
        <v>1.3176000000000001</v>
      </c>
    </row>
    <row r="59" spans="1:9" s="2" customFormat="1" ht="15.75" customHeight="1">
      <c r="A59" s="190"/>
      <c r="B59" s="189"/>
      <c r="C59" s="629" t="s">
        <v>244</v>
      </c>
      <c r="D59" s="629"/>
      <c r="E59" s="629"/>
      <c r="F59" s="629"/>
      <c r="G59" s="629"/>
      <c r="H59" s="189"/>
      <c r="I59" s="213">
        <f>ROUND(I58,4)</f>
        <v>1.3176000000000001</v>
      </c>
    </row>
    <row r="60" spans="1:9" s="2" customFormat="1" ht="15.75" customHeight="1">
      <c r="A60" s="190"/>
      <c r="B60" s="189"/>
      <c r="C60" s="189"/>
      <c r="D60" s="189"/>
      <c r="E60" s="189"/>
      <c r="F60" s="189"/>
      <c r="G60" s="191" t="s">
        <v>245</v>
      </c>
      <c r="H60" s="189"/>
      <c r="I60" s="216">
        <f>ROUND(I51+I56+I59,4)</f>
        <v>228.8175</v>
      </c>
    </row>
    <row r="61" spans="1:9" s="2" customFormat="1" ht="15.75" customHeight="1">
      <c r="A61" s="187" t="s">
        <v>246</v>
      </c>
      <c r="B61" s="189"/>
      <c r="C61" s="188" t="s">
        <v>201</v>
      </c>
      <c r="D61" s="188" t="s">
        <v>219</v>
      </c>
      <c r="E61" s="188" t="s">
        <v>230</v>
      </c>
      <c r="F61" s="189"/>
      <c r="G61" s="188" t="s">
        <v>241</v>
      </c>
      <c r="H61" s="629" t="s">
        <v>241</v>
      </c>
      <c r="I61" s="630"/>
    </row>
    <row r="62" spans="1:9" s="2" customFormat="1" ht="15.75" customHeight="1">
      <c r="A62" s="190"/>
      <c r="B62" s="189"/>
      <c r="C62" s="629" t="s">
        <v>248</v>
      </c>
      <c r="D62" s="629"/>
      <c r="E62" s="629"/>
      <c r="F62" s="629"/>
      <c r="G62" s="629"/>
      <c r="H62" s="189"/>
      <c r="I62" s="216"/>
    </row>
    <row r="63" spans="1:9" s="2" customFormat="1" ht="15.75" customHeight="1">
      <c r="A63" s="619" t="s">
        <v>249</v>
      </c>
      <c r="B63" s="620"/>
      <c r="C63" s="623" t="s">
        <v>219</v>
      </c>
      <c r="D63" s="623" t="s">
        <v>230</v>
      </c>
      <c r="E63" s="623" t="s">
        <v>250</v>
      </c>
      <c r="F63" s="623"/>
      <c r="G63" s="623"/>
      <c r="H63" s="182"/>
      <c r="I63" s="630" t="s">
        <v>241</v>
      </c>
    </row>
    <row r="64" spans="1:9" s="2" customFormat="1" ht="15.75" customHeight="1">
      <c r="A64" s="619"/>
      <c r="B64" s="620"/>
      <c r="C64" s="623"/>
      <c r="D64" s="623"/>
      <c r="E64" s="188" t="s">
        <v>251</v>
      </c>
      <c r="F64" s="188" t="s">
        <v>252</v>
      </c>
      <c r="G64" s="188" t="s">
        <v>253</v>
      </c>
      <c r="H64" s="189"/>
      <c r="I64" s="630"/>
    </row>
    <row r="65" spans="1:9" s="2" customFormat="1">
      <c r="A65" s="200" t="s">
        <v>263</v>
      </c>
      <c r="B65" s="201" t="s">
        <v>264</v>
      </c>
      <c r="C65" s="202">
        <v>0.23599999999999999</v>
      </c>
      <c r="D65" s="203" t="s">
        <v>255</v>
      </c>
      <c r="E65" s="203" t="s">
        <v>265</v>
      </c>
      <c r="F65" s="203" t="s">
        <v>266</v>
      </c>
      <c r="G65" s="203" t="s">
        <v>267</v>
      </c>
      <c r="H65" s="182"/>
      <c r="I65" s="219"/>
    </row>
    <row r="66" spans="1:9" s="2" customFormat="1" ht="24.95" customHeight="1">
      <c r="A66" s="198"/>
      <c r="B66" s="182"/>
      <c r="C66" s="631" t="s">
        <v>259</v>
      </c>
      <c r="D66" s="631"/>
      <c r="E66" s="631"/>
      <c r="F66" s="631"/>
      <c r="G66" s="631"/>
      <c r="H66" s="182"/>
      <c r="I66" s="219"/>
    </row>
    <row r="67" spans="1:9" s="2" customFormat="1" ht="15.75" customHeight="1">
      <c r="A67" s="190"/>
      <c r="B67" s="189"/>
      <c r="C67" s="189"/>
      <c r="D67" s="189"/>
      <c r="E67" s="629" t="s">
        <v>260</v>
      </c>
      <c r="F67" s="629"/>
      <c r="G67" s="629"/>
      <c r="H67" s="189"/>
      <c r="I67" s="220">
        <f>ROUND(I60,2)</f>
        <v>228.82</v>
      </c>
    </row>
    <row r="69" spans="1:9" s="2" customFormat="1" ht="23.25" customHeight="1">
      <c r="A69" s="176" t="s">
        <v>210</v>
      </c>
      <c r="B69" s="177"/>
      <c r="C69" s="177"/>
      <c r="D69" s="177"/>
      <c r="E69" s="177"/>
      <c r="F69" s="177"/>
      <c r="G69" s="177"/>
      <c r="H69" s="177"/>
      <c r="I69" s="208" t="s">
        <v>211</v>
      </c>
    </row>
    <row r="70" spans="1:9" s="2" customFormat="1" ht="18.75" customHeight="1">
      <c r="A70" s="178" t="s">
        <v>212</v>
      </c>
      <c r="B70" s="179"/>
      <c r="C70" s="179"/>
      <c r="D70" s="180" t="s">
        <v>213</v>
      </c>
      <c r="E70" s="179"/>
      <c r="F70" s="179"/>
      <c r="G70" s="205" t="s">
        <v>261</v>
      </c>
      <c r="H70" s="206">
        <v>1.4250000000000001E-2</v>
      </c>
      <c r="I70" s="209"/>
    </row>
    <row r="71" spans="1:9" s="2" customFormat="1" ht="15.75" customHeight="1">
      <c r="A71" s="181" t="s">
        <v>214</v>
      </c>
      <c r="B71" s="182"/>
      <c r="C71" s="182"/>
      <c r="D71" s="183">
        <v>45383</v>
      </c>
      <c r="E71" s="182"/>
      <c r="F71" s="182"/>
      <c r="G71" s="184" t="s">
        <v>215</v>
      </c>
      <c r="H71" s="221">
        <f>622.95*0.65</f>
        <v>404.91750000000002</v>
      </c>
      <c r="I71" s="210" t="s">
        <v>69</v>
      </c>
    </row>
    <row r="72" spans="1:9" s="2" customFormat="1" ht="63" customHeight="1">
      <c r="A72" s="186" t="s">
        <v>268</v>
      </c>
      <c r="B72" s="632" t="s">
        <v>82</v>
      </c>
      <c r="C72" s="632"/>
      <c r="D72" s="632"/>
      <c r="E72" s="632"/>
      <c r="F72" s="632"/>
      <c r="G72" s="632"/>
      <c r="H72" s="633" t="s">
        <v>217</v>
      </c>
      <c r="I72" s="634"/>
    </row>
    <row r="73" spans="1:9" s="2" customFormat="1" ht="15.75" customHeight="1">
      <c r="A73" s="619" t="s">
        <v>218</v>
      </c>
      <c r="B73" s="620"/>
      <c r="C73" s="623" t="s">
        <v>219</v>
      </c>
      <c r="D73" s="623" t="s">
        <v>220</v>
      </c>
      <c r="E73" s="623"/>
      <c r="F73" s="623" t="s">
        <v>221</v>
      </c>
      <c r="G73" s="623"/>
      <c r="H73" s="182"/>
      <c r="I73" s="211" t="s">
        <v>222</v>
      </c>
    </row>
    <row r="74" spans="1:9" s="2" customFormat="1" ht="15.75" customHeight="1">
      <c r="A74" s="619"/>
      <c r="B74" s="620"/>
      <c r="C74" s="623"/>
      <c r="D74" s="188" t="s">
        <v>223</v>
      </c>
      <c r="E74" s="188" t="s">
        <v>224</v>
      </c>
      <c r="F74" s="188" t="s">
        <v>225</v>
      </c>
      <c r="G74" s="188" t="s">
        <v>226</v>
      </c>
      <c r="H74" s="189"/>
      <c r="I74" s="212" t="s">
        <v>227</v>
      </c>
    </row>
    <row r="75" spans="1:9" s="2" customFormat="1">
      <c r="A75" s="200" t="str">
        <f>'Preços Insumos e Serviços'!D26</f>
        <v>E9526</v>
      </c>
      <c r="B75" s="201" t="str">
        <f>'Preços Insumos e Serviços'!B26</f>
        <v>Retroescavadeira de pneus com capacidade de 0,76 m³ - 58 Kw</v>
      </c>
      <c r="C75" s="202">
        <v>1</v>
      </c>
      <c r="D75" s="207">
        <v>1</v>
      </c>
      <c r="E75" s="207">
        <v>0</v>
      </c>
      <c r="F75" s="204">
        <f>'Preços Insumos e Serviços'!F26</f>
        <v>154.178</v>
      </c>
      <c r="G75" s="204">
        <f>'Preços Insumos e Serviços'!G26</f>
        <v>81.404899999999998</v>
      </c>
      <c r="H75" s="182"/>
      <c r="I75" s="215">
        <f>(((D75*F75)+(E75*G75))*C75)</f>
        <v>154.178</v>
      </c>
    </row>
    <row r="76" spans="1:9" s="2" customFormat="1" ht="15.75" customHeight="1">
      <c r="A76" s="190"/>
      <c r="B76" s="189"/>
      <c r="C76" s="189"/>
      <c r="D76" s="189"/>
      <c r="E76" s="189"/>
      <c r="F76" s="189"/>
      <c r="G76" s="191" t="s">
        <v>228</v>
      </c>
      <c r="H76" s="189"/>
      <c r="I76" s="213">
        <f>SUM(I75)</f>
        <v>154.178</v>
      </c>
    </row>
    <row r="77" spans="1:9" s="2" customFormat="1" ht="15.75" customHeight="1">
      <c r="A77" s="187" t="s">
        <v>229</v>
      </c>
      <c r="B77" s="189"/>
      <c r="C77" s="188" t="s">
        <v>219</v>
      </c>
      <c r="D77" s="188" t="s">
        <v>230</v>
      </c>
      <c r="E77" s="189"/>
      <c r="F77" s="188" t="s">
        <v>221</v>
      </c>
      <c r="G77" s="629" t="s">
        <v>231</v>
      </c>
      <c r="H77" s="629"/>
      <c r="I77" s="630"/>
    </row>
    <row r="78" spans="1:9" s="2" customFormat="1">
      <c r="A78" s="192">
        <f>'Preços Insumos e Serviços'!D55</f>
        <v>88316</v>
      </c>
      <c r="B78" s="193" t="str">
        <f>'Preços Insumos e Serviços'!B55</f>
        <v>SERVENTE COM ENCARGOS COMPLEMENTARES</v>
      </c>
      <c r="C78" s="194">
        <v>1</v>
      </c>
      <c r="D78" s="195" t="s">
        <v>232</v>
      </c>
      <c r="E78" s="196"/>
      <c r="F78" s="197">
        <f>'Preços Insumos e Serviços'!F55</f>
        <v>23.23</v>
      </c>
      <c r="G78" s="196"/>
      <c r="H78" s="196"/>
      <c r="I78" s="214">
        <f>C78*F78</f>
        <v>23.23</v>
      </c>
    </row>
    <row r="79" spans="1:9" s="2" customFormat="1" ht="15.75" customHeight="1">
      <c r="A79" s="198"/>
      <c r="B79" s="182"/>
      <c r="C79" s="631" t="s">
        <v>233</v>
      </c>
      <c r="D79" s="631"/>
      <c r="E79" s="631"/>
      <c r="F79" s="631"/>
      <c r="G79" s="631"/>
      <c r="H79" s="182"/>
      <c r="I79" s="215">
        <f>SUM(I78)</f>
        <v>23.23</v>
      </c>
    </row>
    <row r="80" spans="1:9" s="2" customFormat="1" ht="15.75" customHeight="1">
      <c r="A80" s="190"/>
      <c r="B80" s="189"/>
      <c r="C80" s="629" t="s">
        <v>234</v>
      </c>
      <c r="D80" s="629"/>
      <c r="E80" s="629"/>
      <c r="F80" s="629"/>
      <c r="G80" s="629"/>
      <c r="H80" s="189"/>
      <c r="I80" s="216">
        <f>SUM(I76,I79)</f>
        <v>177.40799999999999</v>
      </c>
    </row>
    <row r="81" spans="1:9" s="2" customFormat="1" ht="15.75" customHeight="1">
      <c r="A81" s="198"/>
      <c r="B81" s="182"/>
      <c r="C81" s="631" t="s">
        <v>235</v>
      </c>
      <c r="D81" s="631"/>
      <c r="E81" s="631"/>
      <c r="F81" s="631"/>
      <c r="G81" s="631"/>
      <c r="H81" s="182"/>
      <c r="I81" s="217">
        <f>I80/H71</f>
        <v>0.43813369390060902</v>
      </c>
    </row>
    <row r="82" spans="1:9" s="2" customFormat="1" ht="15.75" customHeight="1">
      <c r="A82" s="198"/>
      <c r="B82" s="182"/>
      <c r="C82" s="182"/>
      <c r="D82" s="182"/>
      <c r="E82" s="182"/>
      <c r="F82" s="182"/>
      <c r="G82" s="199" t="s">
        <v>236</v>
      </c>
      <c r="H82" s="182"/>
      <c r="I82" s="218">
        <f>ROUNDUP(I81*H70,4)</f>
        <v>6.3E-3</v>
      </c>
    </row>
    <row r="83" spans="1:9" s="2" customFormat="1" ht="15.75" customHeight="1">
      <c r="A83" s="190"/>
      <c r="B83" s="189"/>
      <c r="C83" s="189"/>
      <c r="D83" s="189"/>
      <c r="E83" s="189"/>
      <c r="F83" s="189"/>
      <c r="G83" s="191" t="s">
        <v>238</v>
      </c>
      <c r="H83" s="189"/>
      <c r="I83" s="216" t="s">
        <v>237</v>
      </c>
    </row>
    <row r="84" spans="1:9" s="2" customFormat="1" ht="15.75" customHeight="1">
      <c r="A84" s="187" t="s">
        <v>239</v>
      </c>
      <c r="B84" s="189"/>
      <c r="C84" s="188" t="s">
        <v>219</v>
      </c>
      <c r="D84" s="188" t="s">
        <v>230</v>
      </c>
      <c r="E84" s="189"/>
      <c r="F84" s="188" t="s">
        <v>240</v>
      </c>
      <c r="G84" s="629" t="s">
        <v>241</v>
      </c>
      <c r="H84" s="629"/>
      <c r="I84" s="630"/>
    </row>
    <row r="85" spans="1:9" s="2" customFormat="1" ht="24.95" customHeight="1">
      <c r="A85" s="190"/>
      <c r="B85" s="189"/>
      <c r="C85" s="629" t="s">
        <v>242</v>
      </c>
      <c r="D85" s="629"/>
      <c r="E85" s="629"/>
      <c r="F85" s="629"/>
      <c r="G85" s="629"/>
      <c r="H85" s="189"/>
      <c r="I85" s="213"/>
    </row>
    <row r="86" spans="1:9" s="2" customFormat="1" ht="15.75" customHeight="1">
      <c r="A86" s="187" t="s">
        <v>243</v>
      </c>
      <c r="B86" s="189"/>
      <c r="C86" s="188" t="s">
        <v>219</v>
      </c>
      <c r="D86" s="188" t="s">
        <v>230</v>
      </c>
      <c r="E86" s="189"/>
      <c r="F86" s="188" t="s">
        <v>241</v>
      </c>
      <c r="G86" s="629" t="s">
        <v>241</v>
      </c>
      <c r="H86" s="629"/>
      <c r="I86" s="630"/>
    </row>
    <row r="87" spans="1:9" s="2" customFormat="1" ht="24.95" customHeight="1">
      <c r="A87" s="190"/>
      <c r="B87" s="189"/>
      <c r="C87" s="629" t="s">
        <v>244</v>
      </c>
      <c r="D87" s="629"/>
      <c r="E87" s="629"/>
      <c r="F87" s="629"/>
      <c r="G87" s="629"/>
      <c r="H87" s="189"/>
      <c r="I87" s="213"/>
    </row>
    <row r="88" spans="1:9" s="2" customFormat="1" ht="15.75" customHeight="1">
      <c r="A88" s="190"/>
      <c r="B88" s="189"/>
      <c r="C88" s="189"/>
      <c r="D88" s="189"/>
      <c r="E88" s="189"/>
      <c r="F88" s="189"/>
      <c r="G88" s="191" t="s">
        <v>245</v>
      </c>
      <c r="H88" s="189"/>
      <c r="I88" s="216">
        <f>I81+I82</f>
        <v>0.44443369390060899</v>
      </c>
    </row>
    <row r="89" spans="1:9" s="2" customFormat="1" ht="15.75" customHeight="1">
      <c r="A89" s="187" t="s">
        <v>246</v>
      </c>
      <c r="B89" s="189"/>
      <c r="C89" s="188" t="s">
        <v>201</v>
      </c>
      <c r="D89" s="188" t="s">
        <v>219</v>
      </c>
      <c r="E89" s="188" t="s">
        <v>230</v>
      </c>
      <c r="F89" s="189"/>
      <c r="G89" s="188" t="s">
        <v>241</v>
      </c>
      <c r="H89" s="629" t="s">
        <v>241</v>
      </c>
      <c r="I89" s="630"/>
    </row>
    <row r="90" spans="1:9" s="2" customFormat="1" ht="24.95" customHeight="1">
      <c r="A90" s="190"/>
      <c r="B90" s="189"/>
      <c r="C90" s="629" t="s">
        <v>248</v>
      </c>
      <c r="D90" s="629"/>
      <c r="E90" s="629"/>
      <c r="F90" s="629"/>
      <c r="G90" s="629"/>
      <c r="H90" s="189"/>
      <c r="I90" s="216"/>
    </row>
    <row r="91" spans="1:9" s="2" customFormat="1" ht="15.75" customHeight="1">
      <c r="A91" s="619" t="s">
        <v>249</v>
      </c>
      <c r="B91" s="620"/>
      <c r="C91" s="623" t="s">
        <v>219</v>
      </c>
      <c r="D91" s="623" t="s">
        <v>230</v>
      </c>
      <c r="E91" s="623" t="s">
        <v>250</v>
      </c>
      <c r="F91" s="623"/>
      <c r="G91" s="623"/>
      <c r="H91" s="182"/>
      <c r="I91" s="630" t="s">
        <v>241</v>
      </c>
    </row>
    <row r="92" spans="1:9" s="2" customFormat="1" ht="15.75" customHeight="1">
      <c r="A92" s="619"/>
      <c r="B92" s="620"/>
      <c r="C92" s="623"/>
      <c r="D92" s="623"/>
      <c r="E92" s="188" t="s">
        <v>251</v>
      </c>
      <c r="F92" s="188" t="s">
        <v>252</v>
      </c>
      <c r="G92" s="188" t="s">
        <v>253</v>
      </c>
      <c r="H92" s="189"/>
      <c r="I92" s="630"/>
    </row>
    <row r="93" spans="1:9" s="2" customFormat="1" ht="24.95" customHeight="1">
      <c r="A93" s="198"/>
      <c r="B93" s="182"/>
      <c r="C93" s="631" t="s">
        <v>259</v>
      </c>
      <c r="D93" s="631"/>
      <c r="E93" s="631"/>
      <c r="F93" s="631"/>
      <c r="G93" s="631"/>
      <c r="H93" s="182"/>
      <c r="I93" s="219"/>
    </row>
    <row r="94" spans="1:9" s="2" customFormat="1" ht="15.75" customHeight="1">
      <c r="A94" s="190"/>
      <c r="B94" s="189"/>
      <c r="C94" s="189"/>
      <c r="D94" s="189"/>
      <c r="E94" s="629" t="s">
        <v>260</v>
      </c>
      <c r="F94" s="629"/>
      <c r="G94" s="629"/>
      <c r="H94" s="189"/>
      <c r="I94" s="220">
        <f>ROUND(I88,2)</f>
        <v>0.44</v>
      </c>
    </row>
    <row r="95" spans="1:9" s="2" customFormat="1" ht="12.75">
      <c r="A95" s="635" t="s">
        <v>269</v>
      </c>
      <c r="B95" s="636"/>
      <c r="C95" s="636"/>
      <c r="D95" s="636"/>
      <c r="E95" s="636"/>
      <c r="F95" s="636"/>
      <c r="G95" s="637"/>
      <c r="H95" s="222"/>
      <c r="I95" s="224"/>
    </row>
    <row r="97" spans="1:9" s="2" customFormat="1" ht="23.25" customHeight="1">
      <c r="A97" s="176" t="s">
        <v>210</v>
      </c>
      <c r="B97" s="177"/>
      <c r="C97" s="177"/>
      <c r="D97" s="177"/>
      <c r="E97" s="177"/>
      <c r="F97" s="177"/>
      <c r="G97" s="177"/>
      <c r="H97" s="177"/>
      <c r="I97" s="208" t="s">
        <v>211</v>
      </c>
    </row>
    <row r="98" spans="1:9" s="2" customFormat="1" ht="18.75" customHeight="1">
      <c r="A98" s="178" t="s">
        <v>212</v>
      </c>
      <c r="B98" s="179"/>
      <c r="C98" s="179"/>
      <c r="D98" s="180" t="s">
        <v>213</v>
      </c>
      <c r="E98" s="179"/>
      <c r="F98" s="179"/>
      <c r="G98" s="179"/>
      <c r="H98" s="179"/>
      <c r="I98" s="209"/>
    </row>
    <row r="99" spans="1:9" s="2" customFormat="1" ht="15.75" customHeight="1">
      <c r="A99" s="181" t="s">
        <v>214</v>
      </c>
      <c r="B99" s="182"/>
      <c r="C99" s="182"/>
      <c r="D99" s="183">
        <v>45383</v>
      </c>
      <c r="E99" s="182"/>
      <c r="F99" s="182"/>
      <c r="G99" s="184" t="s">
        <v>215</v>
      </c>
      <c r="H99" s="185">
        <v>3.1124999999999998</v>
      </c>
      <c r="I99" s="210" t="s">
        <v>86</v>
      </c>
    </row>
    <row r="100" spans="1:9" s="2" customFormat="1" ht="49.5" customHeight="1">
      <c r="A100" s="223" t="s">
        <v>270</v>
      </c>
      <c r="B100" s="632" t="s">
        <v>128</v>
      </c>
      <c r="C100" s="632"/>
      <c r="D100" s="632"/>
      <c r="E100" s="632"/>
      <c r="F100" s="632"/>
      <c r="G100" s="632"/>
      <c r="H100" s="633" t="s">
        <v>217</v>
      </c>
      <c r="I100" s="634"/>
    </row>
    <row r="101" spans="1:9" s="2" customFormat="1" ht="15.75" customHeight="1">
      <c r="A101" s="619" t="s">
        <v>218</v>
      </c>
      <c r="B101" s="620"/>
      <c r="C101" s="623" t="s">
        <v>219</v>
      </c>
      <c r="D101" s="623" t="s">
        <v>220</v>
      </c>
      <c r="E101" s="623"/>
      <c r="F101" s="623" t="s">
        <v>221</v>
      </c>
      <c r="G101" s="623"/>
      <c r="H101" s="182"/>
      <c r="I101" s="211" t="s">
        <v>222</v>
      </c>
    </row>
    <row r="102" spans="1:9" s="2" customFormat="1" ht="15.75" customHeight="1">
      <c r="A102" s="619"/>
      <c r="B102" s="620"/>
      <c r="C102" s="623"/>
      <c r="D102" s="188" t="s">
        <v>223</v>
      </c>
      <c r="E102" s="188" t="s">
        <v>224</v>
      </c>
      <c r="F102" s="188" t="s">
        <v>225</v>
      </c>
      <c r="G102" s="188" t="s">
        <v>226</v>
      </c>
      <c r="H102" s="189"/>
      <c r="I102" s="212" t="s">
        <v>227</v>
      </c>
    </row>
    <row r="103" spans="1:9" s="2" customFormat="1">
      <c r="A103" s="200" t="str">
        <f>'Preços Insumos e Serviços'!D12</f>
        <v>E9647</v>
      </c>
      <c r="B103" s="201" t="str">
        <f>'Preços Insumos e Serviços'!B12</f>
        <v>Compactador manual com soquete vibratório - 4,10 Kw</v>
      </c>
      <c r="C103" s="202">
        <v>1</v>
      </c>
      <c r="D103" s="207">
        <v>1</v>
      </c>
      <c r="E103" s="207">
        <v>0</v>
      </c>
      <c r="F103" s="204">
        <f>'Preços Insumos e Serviços'!F12</f>
        <v>9.3991000000000007</v>
      </c>
      <c r="G103" s="204">
        <f>'Preços Insumos e Serviços'!G12</f>
        <v>1.0451999999999999</v>
      </c>
      <c r="H103" s="182"/>
      <c r="I103" s="215">
        <f>(((D103*F103)+(E103*G103))*C103)</f>
        <v>9.3991000000000007</v>
      </c>
    </row>
    <row r="104" spans="1:9" s="2" customFormat="1" ht="15.75" customHeight="1">
      <c r="A104" s="190"/>
      <c r="B104" s="189"/>
      <c r="C104" s="189"/>
      <c r="D104" s="189"/>
      <c r="E104" s="189"/>
      <c r="F104" s="189"/>
      <c r="G104" s="191" t="s">
        <v>228</v>
      </c>
      <c r="H104" s="189"/>
      <c r="I104" s="213">
        <f>SUM(I103)</f>
        <v>9.3991000000000007</v>
      </c>
    </row>
    <row r="105" spans="1:9" s="2" customFormat="1" ht="15.75" customHeight="1">
      <c r="A105" s="187" t="s">
        <v>229</v>
      </c>
      <c r="B105" s="189"/>
      <c r="C105" s="188" t="s">
        <v>219</v>
      </c>
      <c r="D105" s="188" t="s">
        <v>230</v>
      </c>
      <c r="E105" s="189"/>
      <c r="F105" s="188" t="s">
        <v>221</v>
      </c>
      <c r="G105" s="629" t="s">
        <v>231</v>
      </c>
      <c r="H105" s="629"/>
      <c r="I105" s="630"/>
    </row>
    <row r="106" spans="1:9" s="2" customFormat="1">
      <c r="A106" s="192">
        <f>'Preços Insumos e Serviços'!D55</f>
        <v>88316</v>
      </c>
      <c r="B106" s="193" t="str">
        <f>'Preços Insumos e Serviços'!B55</f>
        <v>SERVENTE COM ENCARGOS COMPLEMENTARES</v>
      </c>
      <c r="C106" s="194">
        <v>2</v>
      </c>
      <c r="D106" s="195" t="s">
        <v>232</v>
      </c>
      <c r="E106" s="196"/>
      <c r="F106" s="197">
        <f>'Preços Insumos e Serviços'!F55</f>
        <v>23.23</v>
      </c>
      <c r="G106" s="196"/>
      <c r="H106" s="196"/>
      <c r="I106" s="214">
        <f>C106*F106</f>
        <v>46.46</v>
      </c>
    </row>
    <row r="107" spans="1:9" s="2" customFormat="1" ht="15.75" customHeight="1">
      <c r="A107" s="198"/>
      <c r="B107" s="182"/>
      <c r="C107" s="631" t="s">
        <v>233</v>
      </c>
      <c r="D107" s="631"/>
      <c r="E107" s="631"/>
      <c r="F107" s="631"/>
      <c r="G107" s="631"/>
      <c r="H107" s="182"/>
      <c r="I107" s="215">
        <f>SUM(I106)</f>
        <v>46.46</v>
      </c>
    </row>
    <row r="108" spans="1:9" s="2" customFormat="1" ht="15.75" customHeight="1">
      <c r="A108" s="190"/>
      <c r="B108" s="189"/>
      <c r="C108" s="629" t="s">
        <v>234</v>
      </c>
      <c r="D108" s="629"/>
      <c r="E108" s="629"/>
      <c r="F108" s="629"/>
      <c r="G108" s="629"/>
      <c r="H108" s="189"/>
      <c r="I108" s="216">
        <f>SUM(I104,I107)</f>
        <v>55.859099999999998</v>
      </c>
    </row>
    <row r="109" spans="1:9" s="2" customFormat="1" ht="15.75" customHeight="1">
      <c r="A109" s="198"/>
      <c r="B109" s="182"/>
      <c r="C109" s="631" t="s">
        <v>235</v>
      </c>
      <c r="D109" s="631"/>
      <c r="E109" s="631"/>
      <c r="F109" s="631"/>
      <c r="G109" s="631"/>
      <c r="H109" s="182"/>
      <c r="I109" s="217">
        <v>16.7272</v>
      </c>
    </row>
    <row r="110" spans="1:9" s="2" customFormat="1" ht="15.75" customHeight="1">
      <c r="A110" s="198"/>
      <c r="B110" s="182"/>
      <c r="C110" s="182"/>
      <c r="D110" s="182"/>
      <c r="E110" s="182"/>
      <c r="F110" s="182"/>
      <c r="G110" s="199" t="s">
        <v>236</v>
      </c>
      <c r="H110" s="182"/>
      <c r="I110" s="218" t="s">
        <v>237</v>
      </c>
    </row>
    <row r="111" spans="1:9" s="2" customFormat="1" ht="15.75" customHeight="1">
      <c r="A111" s="190"/>
      <c r="B111" s="189"/>
      <c r="C111" s="189"/>
      <c r="D111" s="189"/>
      <c r="E111" s="189"/>
      <c r="F111" s="189"/>
      <c r="G111" s="191" t="s">
        <v>238</v>
      </c>
      <c r="H111" s="189"/>
      <c r="I111" s="216" t="s">
        <v>237</v>
      </c>
    </row>
    <row r="112" spans="1:9" s="2" customFormat="1" ht="15.75" customHeight="1">
      <c r="A112" s="187" t="s">
        <v>239</v>
      </c>
      <c r="B112" s="189"/>
      <c r="C112" s="188" t="s">
        <v>219</v>
      </c>
      <c r="D112" s="188" t="s">
        <v>230</v>
      </c>
      <c r="E112" s="189"/>
      <c r="F112" s="188" t="s">
        <v>240</v>
      </c>
      <c r="G112" s="629" t="s">
        <v>241</v>
      </c>
      <c r="H112" s="629"/>
      <c r="I112" s="630"/>
    </row>
    <row r="113" spans="1:9" s="2" customFormat="1" ht="24.95" customHeight="1">
      <c r="A113" s="190"/>
      <c r="B113" s="189"/>
      <c r="C113" s="629" t="s">
        <v>242</v>
      </c>
      <c r="D113" s="629"/>
      <c r="E113" s="629"/>
      <c r="F113" s="629"/>
      <c r="G113" s="629"/>
      <c r="H113" s="189"/>
      <c r="I113" s="213"/>
    </row>
    <row r="114" spans="1:9" s="2" customFormat="1" ht="15.75" customHeight="1">
      <c r="A114" s="187" t="s">
        <v>243</v>
      </c>
      <c r="B114" s="189"/>
      <c r="C114" s="188" t="s">
        <v>219</v>
      </c>
      <c r="D114" s="188" t="s">
        <v>230</v>
      </c>
      <c r="E114" s="189"/>
      <c r="F114" s="188" t="s">
        <v>241</v>
      </c>
      <c r="G114" s="629" t="s">
        <v>241</v>
      </c>
      <c r="H114" s="629"/>
      <c r="I114" s="630"/>
    </row>
    <row r="115" spans="1:9" s="2" customFormat="1" ht="24.95" customHeight="1">
      <c r="A115" s="190"/>
      <c r="B115" s="189"/>
      <c r="C115" s="629" t="s">
        <v>244</v>
      </c>
      <c r="D115" s="629"/>
      <c r="E115" s="629"/>
      <c r="F115" s="629"/>
      <c r="G115" s="629"/>
      <c r="H115" s="189"/>
      <c r="I115" s="213"/>
    </row>
    <row r="116" spans="1:9" s="2" customFormat="1" ht="15.75" customHeight="1">
      <c r="A116" s="190"/>
      <c r="B116" s="189"/>
      <c r="C116" s="189"/>
      <c r="D116" s="189"/>
      <c r="E116" s="189"/>
      <c r="F116" s="189"/>
      <c r="G116" s="191" t="s">
        <v>245</v>
      </c>
      <c r="H116" s="189"/>
      <c r="I116" s="216">
        <f>ROUND(I109,4)</f>
        <v>16.7272</v>
      </c>
    </row>
    <row r="117" spans="1:9" s="2" customFormat="1" ht="15.75" customHeight="1">
      <c r="A117" s="187" t="s">
        <v>246</v>
      </c>
      <c r="B117" s="189"/>
      <c r="C117" s="188" t="s">
        <v>201</v>
      </c>
      <c r="D117" s="188" t="s">
        <v>219</v>
      </c>
      <c r="E117" s="188" t="s">
        <v>230</v>
      </c>
      <c r="F117" s="189"/>
      <c r="G117" s="188" t="s">
        <v>241</v>
      </c>
      <c r="H117" s="629" t="s">
        <v>241</v>
      </c>
      <c r="I117" s="630"/>
    </row>
    <row r="118" spans="1:9" s="2" customFormat="1" ht="24.95" customHeight="1">
      <c r="A118" s="190"/>
      <c r="B118" s="189"/>
      <c r="C118" s="629" t="s">
        <v>248</v>
      </c>
      <c r="D118" s="629"/>
      <c r="E118" s="629"/>
      <c r="F118" s="629"/>
      <c r="G118" s="629"/>
      <c r="H118" s="189"/>
      <c r="I118" s="216"/>
    </row>
    <row r="119" spans="1:9" s="2" customFormat="1" ht="15.75" customHeight="1">
      <c r="A119" s="619" t="s">
        <v>249</v>
      </c>
      <c r="B119" s="620"/>
      <c r="C119" s="623" t="s">
        <v>219</v>
      </c>
      <c r="D119" s="623" t="s">
        <v>230</v>
      </c>
      <c r="E119" s="623" t="s">
        <v>250</v>
      </c>
      <c r="F119" s="623"/>
      <c r="G119" s="623"/>
      <c r="H119" s="182"/>
      <c r="I119" s="630" t="s">
        <v>241</v>
      </c>
    </row>
    <row r="120" spans="1:9" s="2" customFormat="1" ht="15.75" customHeight="1">
      <c r="A120" s="619"/>
      <c r="B120" s="620"/>
      <c r="C120" s="623"/>
      <c r="D120" s="623"/>
      <c r="E120" s="188" t="s">
        <v>251</v>
      </c>
      <c r="F120" s="188" t="s">
        <v>252</v>
      </c>
      <c r="G120" s="188" t="s">
        <v>253</v>
      </c>
      <c r="H120" s="189"/>
      <c r="I120" s="630"/>
    </row>
    <row r="121" spans="1:9" s="2" customFormat="1" ht="24.95" customHeight="1">
      <c r="A121" s="198"/>
      <c r="B121" s="182"/>
      <c r="C121" s="631" t="s">
        <v>259</v>
      </c>
      <c r="D121" s="631"/>
      <c r="E121" s="631"/>
      <c r="F121" s="631"/>
      <c r="G121" s="631"/>
      <c r="H121" s="182"/>
      <c r="I121" s="219"/>
    </row>
    <row r="122" spans="1:9" s="2" customFormat="1" ht="15.75" customHeight="1">
      <c r="A122" s="190"/>
      <c r="B122" s="189"/>
      <c r="C122" s="189"/>
      <c r="D122" s="189"/>
      <c r="E122" s="629" t="s">
        <v>260</v>
      </c>
      <c r="F122" s="629"/>
      <c r="G122" s="629"/>
      <c r="H122" s="189"/>
      <c r="I122" s="220">
        <f>ROUND(I116,2)</f>
        <v>16.73</v>
      </c>
    </row>
    <row r="124" spans="1:9" s="2" customFormat="1" ht="23.25" customHeight="1">
      <c r="A124" s="176" t="s">
        <v>210</v>
      </c>
      <c r="B124" s="177"/>
      <c r="C124" s="177"/>
      <c r="D124" s="177"/>
      <c r="E124" s="177"/>
      <c r="F124" s="177"/>
      <c r="G124" s="177"/>
      <c r="H124" s="177"/>
      <c r="I124" s="208" t="s">
        <v>211</v>
      </c>
    </row>
    <row r="125" spans="1:9" s="2" customFormat="1" ht="18.75" customHeight="1">
      <c r="A125" s="178" t="s">
        <v>212</v>
      </c>
      <c r="B125" s="179"/>
      <c r="C125" s="179"/>
      <c r="D125" s="180" t="s">
        <v>213</v>
      </c>
      <c r="E125" s="179"/>
      <c r="F125" s="179"/>
      <c r="G125" s="205" t="s">
        <v>261</v>
      </c>
      <c r="H125" s="206">
        <v>1.4250000000000001E-2</v>
      </c>
      <c r="I125" s="209"/>
    </row>
    <row r="126" spans="1:9" s="2" customFormat="1" ht="15.75" customHeight="1">
      <c r="A126" s="181" t="s">
        <v>214</v>
      </c>
      <c r="B126" s="182"/>
      <c r="C126" s="182"/>
      <c r="D126" s="183">
        <v>45383</v>
      </c>
      <c r="E126" s="182"/>
      <c r="F126" s="182"/>
      <c r="G126" s="184" t="s">
        <v>215</v>
      </c>
      <c r="H126" s="185">
        <v>4.6687500000000002</v>
      </c>
      <c r="I126" s="210" t="s">
        <v>86</v>
      </c>
    </row>
    <row r="127" spans="1:9" s="2" customFormat="1" ht="48.75" customHeight="1">
      <c r="A127" s="223" t="s">
        <v>271</v>
      </c>
      <c r="B127" s="632" t="s">
        <v>272</v>
      </c>
      <c r="C127" s="632"/>
      <c r="D127" s="632"/>
      <c r="E127" s="632"/>
      <c r="F127" s="632"/>
      <c r="G127" s="632"/>
      <c r="H127" s="633" t="s">
        <v>217</v>
      </c>
      <c r="I127" s="634"/>
    </row>
    <row r="128" spans="1:9" s="2" customFormat="1" ht="15.75" customHeight="1">
      <c r="A128" s="619" t="s">
        <v>218</v>
      </c>
      <c r="B128" s="620"/>
      <c r="C128" s="623" t="s">
        <v>219</v>
      </c>
      <c r="D128" s="623" t="s">
        <v>220</v>
      </c>
      <c r="E128" s="623"/>
      <c r="F128" s="623" t="s">
        <v>221</v>
      </c>
      <c r="G128" s="623"/>
      <c r="H128" s="182"/>
      <c r="I128" s="211" t="s">
        <v>222</v>
      </c>
    </row>
    <row r="129" spans="1:9" s="2" customFormat="1" ht="15.75" customHeight="1">
      <c r="A129" s="619"/>
      <c r="B129" s="620"/>
      <c r="C129" s="623"/>
      <c r="D129" s="188" t="s">
        <v>223</v>
      </c>
      <c r="E129" s="188" t="s">
        <v>224</v>
      </c>
      <c r="F129" s="188" t="s">
        <v>225</v>
      </c>
      <c r="G129" s="188" t="s">
        <v>226</v>
      </c>
      <c r="H129" s="189"/>
      <c r="I129" s="212" t="s">
        <v>227</v>
      </c>
    </row>
    <row r="130" spans="1:9" s="2" customFormat="1">
      <c r="A130" s="200" t="str">
        <f>'Preços Insumos e Serviços'!D12</f>
        <v>E9647</v>
      </c>
      <c r="B130" s="201" t="str">
        <f>'Preços Insumos e Serviços'!B12</f>
        <v>Compactador manual com soquete vibratório - 4,10 Kw</v>
      </c>
      <c r="C130" s="202">
        <v>1</v>
      </c>
      <c r="D130" s="207">
        <v>1</v>
      </c>
      <c r="E130" s="207">
        <v>0</v>
      </c>
      <c r="F130" s="204">
        <f>'Preços Insumos e Serviços'!F12</f>
        <v>9.3991000000000007</v>
      </c>
      <c r="G130" s="204">
        <f>'Preços Insumos e Serviços'!G12</f>
        <v>1.0451999999999999</v>
      </c>
      <c r="H130" s="182"/>
      <c r="I130" s="215">
        <f>(((D130*F130)+(E130*G130))*C130)</f>
        <v>9.3991000000000007</v>
      </c>
    </row>
    <row r="131" spans="1:9" s="2" customFormat="1" ht="15.75" customHeight="1">
      <c r="A131" s="190"/>
      <c r="B131" s="189"/>
      <c r="C131" s="189"/>
      <c r="D131" s="189"/>
      <c r="E131" s="189"/>
      <c r="F131" s="189"/>
      <c r="G131" s="191" t="s">
        <v>228</v>
      </c>
      <c r="H131" s="189"/>
      <c r="I131" s="213">
        <f>SUM(I130)</f>
        <v>9.3991000000000007</v>
      </c>
    </row>
    <row r="132" spans="1:9" s="2" customFormat="1" ht="15.75" customHeight="1">
      <c r="A132" s="187" t="s">
        <v>229</v>
      </c>
      <c r="B132" s="189"/>
      <c r="C132" s="188" t="s">
        <v>219</v>
      </c>
      <c r="D132" s="188" t="s">
        <v>230</v>
      </c>
      <c r="E132" s="189"/>
      <c r="F132" s="188" t="s">
        <v>221</v>
      </c>
      <c r="G132" s="629" t="s">
        <v>231</v>
      </c>
      <c r="H132" s="629"/>
      <c r="I132" s="630"/>
    </row>
    <row r="133" spans="1:9" s="2" customFormat="1">
      <c r="A133" s="192">
        <f>'Preços Insumos e Serviços'!D55</f>
        <v>88316</v>
      </c>
      <c r="B133" s="193" t="str">
        <f>'Preços Insumos e Serviços'!B55</f>
        <v>SERVENTE COM ENCARGOS COMPLEMENTARES</v>
      </c>
      <c r="C133" s="194">
        <v>1</v>
      </c>
      <c r="D133" s="195" t="s">
        <v>232</v>
      </c>
      <c r="E133" s="196"/>
      <c r="F133" s="197">
        <f>'Preços Insumos e Serviços'!F55</f>
        <v>23.23</v>
      </c>
      <c r="G133" s="196"/>
      <c r="H133" s="196"/>
      <c r="I133" s="214">
        <f>C133*F133</f>
        <v>23.23</v>
      </c>
    </row>
    <row r="134" spans="1:9" s="2" customFormat="1" ht="15.75" customHeight="1">
      <c r="A134" s="198"/>
      <c r="B134" s="182"/>
      <c r="C134" s="631" t="s">
        <v>233</v>
      </c>
      <c r="D134" s="631"/>
      <c r="E134" s="631"/>
      <c r="F134" s="631"/>
      <c r="G134" s="631"/>
      <c r="H134" s="182"/>
      <c r="I134" s="215">
        <f>SUM(I133)</f>
        <v>23.23</v>
      </c>
    </row>
    <row r="135" spans="1:9" s="2" customFormat="1" ht="15.75" customHeight="1">
      <c r="A135" s="190"/>
      <c r="B135" s="189"/>
      <c r="C135" s="629" t="s">
        <v>234</v>
      </c>
      <c r="D135" s="629"/>
      <c r="E135" s="629"/>
      <c r="F135" s="629"/>
      <c r="G135" s="629"/>
      <c r="H135" s="189"/>
      <c r="I135" s="216">
        <f>SUM(I131,I134)</f>
        <v>32.629100000000001</v>
      </c>
    </row>
    <row r="136" spans="1:9" s="2" customFormat="1" ht="15.75" customHeight="1">
      <c r="A136" s="198"/>
      <c r="B136" s="182"/>
      <c r="C136" s="631" t="s">
        <v>235</v>
      </c>
      <c r="D136" s="631"/>
      <c r="E136" s="631"/>
      <c r="F136" s="631"/>
      <c r="G136" s="631"/>
      <c r="H136" s="182"/>
      <c r="I136" s="217">
        <f>I135/H126</f>
        <v>6.98882998661312</v>
      </c>
    </row>
    <row r="137" spans="1:9" s="2" customFormat="1" ht="15.75" customHeight="1">
      <c r="A137" s="198"/>
      <c r="B137" s="182"/>
      <c r="C137" s="182"/>
      <c r="D137" s="182"/>
      <c r="E137" s="182"/>
      <c r="F137" s="182"/>
      <c r="G137" s="199" t="s">
        <v>236</v>
      </c>
      <c r="H137" s="182"/>
      <c r="I137" s="217">
        <f>ROUNDUP(I136*H125,4)</f>
        <v>9.9599999999999994E-2</v>
      </c>
    </row>
    <row r="138" spans="1:9" s="2" customFormat="1" ht="15.75" customHeight="1">
      <c r="A138" s="190"/>
      <c r="B138" s="189"/>
      <c r="C138" s="189"/>
      <c r="D138" s="189"/>
      <c r="E138" s="189"/>
      <c r="F138" s="189"/>
      <c r="G138" s="191" t="s">
        <v>238</v>
      </c>
      <c r="H138" s="189"/>
      <c r="I138" s="216" t="s">
        <v>237</v>
      </c>
    </row>
    <row r="139" spans="1:9" s="2" customFormat="1" ht="15.75" customHeight="1">
      <c r="A139" s="187" t="s">
        <v>239</v>
      </c>
      <c r="B139" s="189"/>
      <c r="C139" s="188" t="s">
        <v>219</v>
      </c>
      <c r="D139" s="188" t="s">
        <v>230</v>
      </c>
      <c r="E139" s="189"/>
      <c r="F139" s="188" t="s">
        <v>240</v>
      </c>
      <c r="G139" s="629" t="s">
        <v>241</v>
      </c>
      <c r="H139" s="629"/>
      <c r="I139" s="630"/>
    </row>
    <row r="140" spans="1:9" s="2" customFormat="1" ht="24.95" customHeight="1">
      <c r="A140" s="190"/>
      <c r="B140" s="189"/>
      <c r="C140" s="629" t="s">
        <v>242</v>
      </c>
      <c r="D140" s="629"/>
      <c r="E140" s="629"/>
      <c r="F140" s="629"/>
      <c r="G140" s="629"/>
      <c r="H140" s="189"/>
      <c r="I140" s="213"/>
    </row>
    <row r="141" spans="1:9" s="2" customFormat="1" ht="15.75" customHeight="1">
      <c r="A141" s="187" t="s">
        <v>243</v>
      </c>
      <c r="B141" s="189"/>
      <c r="C141" s="188" t="s">
        <v>219</v>
      </c>
      <c r="D141" s="188" t="s">
        <v>230</v>
      </c>
      <c r="E141" s="189"/>
      <c r="F141" s="188" t="s">
        <v>241</v>
      </c>
      <c r="G141" s="629" t="s">
        <v>241</v>
      </c>
      <c r="H141" s="629"/>
      <c r="I141" s="630"/>
    </row>
    <row r="142" spans="1:9" s="2" customFormat="1" ht="24.95" customHeight="1">
      <c r="A142" s="190"/>
      <c r="B142" s="189"/>
      <c r="C142" s="629" t="s">
        <v>244</v>
      </c>
      <c r="D142" s="629"/>
      <c r="E142" s="629"/>
      <c r="F142" s="629"/>
      <c r="G142" s="629"/>
      <c r="H142" s="189"/>
      <c r="I142" s="213"/>
    </row>
    <row r="143" spans="1:9" s="2" customFormat="1" ht="15.75" customHeight="1">
      <c r="A143" s="190"/>
      <c r="B143" s="189"/>
      <c r="C143" s="189"/>
      <c r="D143" s="189"/>
      <c r="E143" s="189"/>
      <c r="F143" s="189"/>
      <c r="G143" s="191" t="s">
        <v>245</v>
      </c>
      <c r="H143" s="189"/>
      <c r="I143" s="216">
        <f>I136+I137</f>
        <v>7.0884299866131197</v>
      </c>
    </row>
    <row r="144" spans="1:9" s="2" customFormat="1" ht="15.75" customHeight="1">
      <c r="A144" s="187" t="s">
        <v>246</v>
      </c>
      <c r="B144" s="189"/>
      <c r="C144" s="188" t="s">
        <v>201</v>
      </c>
      <c r="D144" s="188" t="s">
        <v>219</v>
      </c>
      <c r="E144" s="188" t="s">
        <v>230</v>
      </c>
      <c r="F144" s="189"/>
      <c r="G144" s="188" t="s">
        <v>241</v>
      </c>
      <c r="H144" s="629" t="s">
        <v>241</v>
      </c>
      <c r="I144" s="630"/>
    </row>
    <row r="145" spans="1:9" s="2" customFormat="1" ht="24.95" customHeight="1">
      <c r="A145" s="190"/>
      <c r="B145" s="189"/>
      <c r="C145" s="629" t="s">
        <v>248</v>
      </c>
      <c r="D145" s="629"/>
      <c r="E145" s="629"/>
      <c r="F145" s="629"/>
      <c r="G145" s="629"/>
      <c r="H145" s="189"/>
      <c r="I145" s="216"/>
    </row>
    <row r="146" spans="1:9" s="2" customFormat="1" ht="15.75" customHeight="1">
      <c r="A146" s="619" t="s">
        <v>249</v>
      </c>
      <c r="B146" s="620"/>
      <c r="C146" s="623" t="s">
        <v>219</v>
      </c>
      <c r="D146" s="623" t="s">
        <v>230</v>
      </c>
      <c r="E146" s="623" t="s">
        <v>250</v>
      </c>
      <c r="F146" s="623"/>
      <c r="G146" s="623"/>
      <c r="H146" s="182"/>
      <c r="I146" s="630" t="s">
        <v>241</v>
      </c>
    </row>
    <row r="147" spans="1:9" s="2" customFormat="1" ht="15.75" customHeight="1">
      <c r="A147" s="619"/>
      <c r="B147" s="620"/>
      <c r="C147" s="623"/>
      <c r="D147" s="623"/>
      <c r="E147" s="188" t="s">
        <v>251</v>
      </c>
      <c r="F147" s="188" t="s">
        <v>252</v>
      </c>
      <c r="G147" s="188" t="s">
        <v>253</v>
      </c>
      <c r="H147" s="189"/>
      <c r="I147" s="630"/>
    </row>
    <row r="148" spans="1:9" s="2" customFormat="1" ht="24.95" customHeight="1">
      <c r="A148" s="198"/>
      <c r="B148" s="182"/>
      <c r="C148" s="631" t="s">
        <v>259</v>
      </c>
      <c r="D148" s="631"/>
      <c r="E148" s="631"/>
      <c r="F148" s="631"/>
      <c r="G148" s="631"/>
      <c r="H148" s="182"/>
      <c r="I148" s="219"/>
    </row>
    <row r="149" spans="1:9" s="2" customFormat="1" ht="15.75" customHeight="1">
      <c r="A149" s="190"/>
      <c r="B149" s="189"/>
      <c r="C149" s="189"/>
      <c r="D149" s="189"/>
      <c r="E149" s="629" t="s">
        <v>260</v>
      </c>
      <c r="F149" s="629"/>
      <c r="G149" s="629"/>
      <c r="H149" s="189"/>
      <c r="I149" s="220">
        <f>ROUND(I143,2)</f>
        <v>7.09</v>
      </c>
    </row>
    <row r="151" spans="1:9" ht="23.25" customHeight="1">
      <c r="A151" s="225" t="s">
        <v>210</v>
      </c>
      <c r="B151" s="226"/>
      <c r="C151" s="226"/>
      <c r="D151" s="226"/>
      <c r="E151" s="226"/>
      <c r="F151" s="226"/>
      <c r="G151" s="226"/>
      <c r="H151" s="226"/>
      <c r="I151" s="256" t="s">
        <v>211</v>
      </c>
    </row>
    <row r="152" spans="1:9" ht="18.75" customHeight="1">
      <c r="A152" s="227" t="s">
        <v>212</v>
      </c>
      <c r="B152" s="228"/>
      <c r="C152" s="228"/>
      <c r="D152" s="229" t="s">
        <v>213</v>
      </c>
      <c r="E152" s="228"/>
      <c r="F152" s="228"/>
      <c r="G152" s="230" t="s">
        <v>261</v>
      </c>
      <c r="H152" s="231">
        <v>1.4250000000000001E-2</v>
      </c>
      <c r="I152" s="257"/>
    </row>
    <row r="153" spans="1:9" ht="15.75" customHeight="1">
      <c r="A153" s="232" t="s">
        <v>214</v>
      </c>
      <c r="B153" s="233"/>
      <c r="C153" s="233"/>
      <c r="D153" s="183">
        <v>45383</v>
      </c>
      <c r="E153" s="233"/>
      <c r="F153" s="233"/>
      <c r="G153" s="234" t="s">
        <v>215</v>
      </c>
      <c r="H153" s="235">
        <v>168.2</v>
      </c>
      <c r="I153" s="258" t="s">
        <v>86</v>
      </c>
    </row>
    <row r="154" spans="1:9" ht="30" customHeight="1">
      <c r="A154" s="236" t="s">
        <v>273</v>
      </c>
      <c r="B154" s="626" t="s">
        <v>274</v>
      </c>
      <c r="C154" s="626"/>
      <c r="D154" s="626"/>
      <c r="E154" s="626"/>
      <c r="F154" s="626"/>
      <c r="G154" s="626"/>
      <c r="H154" s="627" t="s">
        <v>217</v>
      </c>
      <c r="I154" s="628"/>
    </row>
    <row r="155" spans="1:9" ht="15.75" customHeight="1">
      <c r="A155" s="616" t="s">
        <v>218</v>
      </c>
      <c r="B155" s="617"/>
      <c r="C155" s="622" t="s">
        <v>219</v>
      </c>
      <c r="D155" s="622" t="s">
        <v>220</v>
      </c>
      <c r="E155" s="622"/>
      <c r="F155" s="622" t="s">
        <v>221</v>
      </c>
      <c r="G155" s="622"/>
      <c r="H155" s="233"/>
      <c r="I155" s="259" t="s">
        <v>222</v>
      </c>
    </row>
    <row r="156" spans="1:9" ht="15.75" customHeight="1">
      <c r="A156" s="616"/>
      <c r="B156" s="617"/>
      <c r="C156" s="622"/>
      <c r="D156" s="238" t="s">
        <v>223</v>
      </c>
      <c r="E156" s="238" t="s">
        <v>224</v>
      </c>
      <c r="F156" s="238" t="s">
        <v>225</v>
      </c>
      <c r="G156" s="238" t="s">
        <v>226</v>
      </c>
      <c r="H156" s="239"/>
      <c r="I156" s="260" t="s">
        <v>227</v>
      </c>
    </row>
    <row r="157" spans="1:9">
      <c r="A157" s="240" t="str">
        <f>'[12]CUSTOS SICRO - SINAPI - ORSE'!D10</f>
        <v>E9571</v>
      </c>
      <c r="B157" s="241" t="str">
        <f>'[12]CUSTOS SICRO - SINAPI - ORSE'!A10</f>
        <v>Caminhão tanque com capacidade de 10.000 l - 188 kW</v>
      </c>
      <c r="C157" s="242">
        <v>1</v>
      </c>
      <c r="D157" s="243">
        <v>0.93</v>
      </c>
      <c r="E157" s="243">
        <v>7.0000000000000007E-2</v>
      </c>
      <c r="F157" s="244">
        <f>'[12]CUSTOS SICRO - SINAPI - ORSE'!F10</f>
        <v>298.26069999999999</v>
      </c>
      <c r="G157" s="244">
        <f>'[12]CUSTOS SICRO - SINAPI - ORSE'!G10</f>
        <v>89.097099999999998</v>
      </c>
      <c r="H157" s="233"/>
      <c r="I157" s="261">
        <f t="shared" ref="I157:I162" si="0">ROUND(((D157*F157)+(E157*G157))*C157,4)</f>
        <v>283.61919999999998</v>
      </c>
    </row>
    <row r="158" spans="1:9">
      <c r="A158" s="240" t="str">
        <f>'[12]CUSTOS SICRO - SINAPI - ORSE'!D19</f>
        <v>E9518</v>
      </c>
      <c r="B158" s="241" t="str">
        <f>'[12]CUSTOS SICRO - SINAPI - ORSE'!A19</f>
        <v>Grade de 24 discos rebocável de D = 60 cm (24")</v>
      </c>
      <c r="C158" s="242">
        <v>1</v>
      </c>
      <c r="D158" s="243">
        <v>0.52</v>
      </c>
      <c r="E158" s="243">
        <v>0.48</v>
      </c>
      <c r="F158" s="244">
        <f>'[12]CUSTOS SICRO - SINAPI - ORSE'!F19</f>
        <v>4.8484999999999996</v>
      </c>
      <c r="G158" s="244">
        <f>'[12]CUSTOS SICRO - SINAPI - ORSE'!G19</f>
        <v>3.3763999999999998</v>
      </c>
      <c r="H158" s="233"/>
      <c r="I158" s="261">
        <f t="shared" si="0"/>
        <v>4.1418999999999997</v>
      </c>
    </row>
    <row r="159" spans="1:9">
      <c r="A159" s="240" t="str">
        <f>'[12]CUSTOS SICRO - SINAPI - ORSE'!D23</f>
        <v>E9524</v>
      </c>
      <c r="B159" s="241" t="str">
        <f>'[12]CUSTOS SICRO - SINAPI - ORSE'!A23</f>
        <v>Motoniveladora - 93 kW</v>
      </c>
      <c r="C159" s="242">
        <v>1</v>
      </c>
      <c r="D159" s="243">
        <v>0.74</v>
      </c>
      <c r="E159" s="243">
        <v>0.26</v>
      </c>
      <c r="F159" s="244">
        <f>'[12]CUSTOS SICRO - SINAPI - ORSE'!F23</f>
        <v>279.14210000000003</v>
      </c>
      <c r="G159" s="244">
        <f>'[12]CUSTOS SICRO - SINAPI - ORSE'!G23</f>
        <v>130.55009999999999</v>
      </c>
      <c r="H159" s="233"/>
      <c r="I159" s="261">
        <f t="shared" si="0"/>
        <v>240.50819999999999</v>
      </c>
    </row>
    <row r="160" spans="1:9">
      <c r="A160" s="240" t="str">
        <f>'[12]CUSTOS SICRO - SINAPI - ORSE'!D30</f>
        <v>E9762</v>
      </c>
      <c r="B160" s="241" t="str">
        <f>'[12]CUSTOS SICRO - SINAPI - ORSE'!A30</f>
        <v>Rolo compactador de pneus autopropelido de 27 t - 85 kW</v>
      </c>
      <c r="C160" s="242">
        <v>1</v>
      </c>
      <c r="D160" s="243">
        <v>0.72</v>
      </c>
      <c r="E160" s="243">
        <v>0.28000000000000003</v>
      </c>
      <c r="F160" s="244">
        <f>'[12]CUSTOS SICRO - SINAPI - ORSE'!F30</f>
        <v>241.52109999999999</v>
      </c>
      <c r="G160" s="244">
        <f>'[12]CUSTOS SICRO - SINAPI - ORSE'!G30</f>
        <v>125.0121</v>
      </c>
      <c r="H160" s="233"/>
      <c r="I160" s="261">
        <f t="shared" si="0"/>
        <v>208.89859999999999</v>
      </c>
    </row>
    <row r="161" spans="1:9" ht="28.5">
      <c r="A161" s="240" t="str">
        <f>'[12]CUSTOS SICRO - SINAPI - ORSE'!D31</f>
        <v>E9685</v>
      </c>
      <c r="B161" s="241" t="str">
        <f>'[12]CUSTOS SICRO - SINAPI - ORSE'!A31</f>
        <v>Rolo compactador pé de carneiro vibratório autopropelido por pneus de 11,6 t - 82 kW</v>
      </c>
      <c r="C161" s="242">
        <v>1</v>
      </c>
      <c r="D161" s="243">
        <v>1</v>
      </c>
      <c r="E161" s="243">
        <v>0</v>
      </c>
      <c r="F161" s="244">
        <f>'[12]CUSTOS SICRO - SINAPI - ORSE'!F31</f>
        <v>199.6669</v>
      </c>
      <c r="G161" s="244">
        <f>'[12]CUSTOS SICRO - SINAPI - ORSE'!G31</f>
        <v>96.510900000000007</v>
      </c>
      <c r="H161" s="233"/>
      <c r="I161" s="261">
        <f t="shared" si="0"/>
        <v>199.6669</v>
      </c>
    </row>
    <row r="162" spans="1:9">
      <c r="A162" s="240" t="str">
        <f>'[12]CUSTOS SICRO - SINAPI - ORSE'!D35</f>
        <v>E9577</v>
      </c>
      <c r="B162" s="241" t="str">
        <f>'[12]CUSTOS SICRO - SINAPI - ORSE'!A35</f>
        <v>Trator agrícola sobre pneus - 77 kW</v>
      </c>
      <c r="C162" s="242">
        <v>1</v>
      </c>
      <c r="D162" s="243">
        <v>0.52</v>
      </c>
      <c r="E162" s="243">
        <v>0.48</v>
      </c>
      <c r="F162" s="244">
        <f>'[12]CUSTOS SICRO - SINAPI - ORSE'!F35</f>
        <v>126.06010000000001</v>
      </c>
      <c r="G162" s="244">
        <f>'[12]CUSTOS SICRO - SINAPI - ORSE'!G35</f>
        <v>50.948399999999999</v>
      </c>
      <c r="H162" s="233"/>
      <c r="I162" s="261">
        <f t="shared" si="0"/>
        <v>90.006500000000003</v>
      </c>
    </row>
    <row r="163" spans="1:9" ht="15.75" customHeight="1">
      <c r="A163" s="245"/>
      <c r="B163" s="239"/>
      <c r="C163" s="239"/>
      <c r="D163" s="239"/>
      <c r="E163" s="239"/>
      <c r="F163" s="239"/>
      <c r="G163" s="246" t="s">
        <v>228</v>
      </c>
      <c r="H163" s="239"/>
      <c r="I163" s="262">
        <f>ROUNDDOWN(I157+I158+I159+I160+I161+I162,4)</f>
        <v>1026.8413</v>
      </c>
    </row>
    <row r="164" spans="1:9" ht="15.75" customHeight="1">
      <c r="A164" s="237" t="s">
        <v>229</v>
      </c>
      <c r="B164" s="239"/>
      <c r="C164" s="238" t="s">
        <v>219</v>
      </c>
      <c r="D164" s="238" t="s">
        <v>230</v>
      </c>
      <c r="E164" s="239"/>
      <c r="F164" s="238" t="s">
        <v>221</v>
      </c>
      <c r="G164" s="624" t="s">
        <v>231</v>
      </c>
      <c r="H164" s="624"/>
      <c r="I164" s="621"/>
    </row>
    <row r="165" spans="1:9">
      <c r="A165" s="247">
        <f>'Preços Insumos e Serviços'!D55</f>
        <v>88316</v>
      </c>
      <c r="B165" s="248" t="str">
        <f>'Preços Insumos e Serviços'!B55</f>
        <v>SERVENTE COM ENCARGOS COMPLEMENTARES</v>
      </c>
      <c r="C165" s="249">
        <v>1</v>
      </c>
      <c r="D165" s="250" t="s">
        <v>232</v>
      </c>
      <c r="E165" s="251"/>
      <c r="F165" s="252">
        <f>'Preços Insumos e Serviços'!F55</f>
        <v>23.23</v>
      </c>
      <c r="G165" s="251"/>
      <c r="H165" s="251"/>
      <c r="I165" s="263">
        <f>ROUND(C165*F165,4)</f>
        <v>23.23</v>
      </c>
    </row>
    <row r="166" spans="1:9" ht="15.75" customHeight="1">
      <c r="A166" s="253"/>
      <c r="B166" s="233"/>
      <c r="C166" s="625" t="s">
        <v>233</v>
      </c>
      <c r="D166" s="625"/>
      <c r="E166" s="625"/>
      <c r="F166" s="625"/>
      <c r="G166" s="625"/>
      <c r="H166" s="233"/>
      <c r="I166" s="261">
        <f>SUM(I165)</f>
        <v>23.23</v>
      </c>
    </row>
    <row r="167" spans="1:9" ht="15.75" customHeight="1">
      <c r="A167" s="245"/>
      <c r="B167" s="239"/>
      <c r="C167" s="624" t="s">
        <v>234</v>
      </c>
      <c r="D167" s="624"/>
      <c r="E167" s="624"/>
      <c r="F167" s="624"/>
      <c r="G167" s="624"/>
      <c r="H167" s="239"/>
      <c r="I167" s="264">
        <f>ROUNDDOWN(I163+I166,4)</f>
        <v>1050.0713000000001</v>
      </c>
    </row>
    <row r="168" spans="1:9" ht="15.75" customHeight="1">
      <c r="A168" s="253"/>
      <c r="B168" s="233"/>
      <c r="C168" s="625" t="s">
        <v>235</v>
      </c>
      <c r="D168" s="625"/>
      <c r="E168" s="625"/>
      <c r="F168" s="625"/>
      <c r="G168" s="625"/>
      <c r="H168" s="233"/>
      <c r="I168" s="265">
        <f>ROUNDUP(I167/H153,4)</f>
        <v>6.2430000000000003</v>
      </c>
    </row>
    <row r="169" spans="1:9" ht="15.75" customHeight="1">
      <c r="A169" s="253"/>
      <c r="B169" s="233"/>
      <c r="C169" s="233"/>
      <c r="D169" s="233"/>
      <c r="E169" s="233"/>
      <c r="F169" s="233"/>
      <c r="G169" s="254" t="s">
        <v>236</v>
      </c>
      <c r="H169" s="233"/>
      <c r="I169" s="266">
        <f>ROUND(I168*H152,4)</f>
        <v>8.8999999999999996E-2</v>
      </c>
    </row>
    <row r="170" spans="1:9" ht="15.75" customHeight="1">
      <c r="A170" s="245"/>
      <c r="B170" s="239"/>
      <c r="C170" s="239"/>
      <c r="D170" s="239"/>
      <c r="E170" s="239"/>
      <c r="F170" s="239"/>
      <c r="G170" s="246" t="s">
        <v>238</v>
      </c>
      <c r="H170" s="239"/>
      <c r="I170" s="264" t="s">
        <v>237</v>
      </c>
    </row>
    <row r="171" spans="1:9" ht="15.75" customHeight="1">
      <c r="A171" s="237" t="s">
        <v>239</v>
      </c>
      <c r="B171" s="239"/>
      <c r="C171" s="238" t="s">
        <v>219</v>
      </c>
      <c r="D171" s="238" t="s">
        <v>230</v>
      </c>
      <c r="E171" s="239"/>
      <c r="F171" s="238" t="s">
        <v>240</v>
      </c>
      <c r="G171" s="624" t="s">
        <v>241</v>
      </c>
      <c r="H171" s="624"/>
      <c r="I171" s="621"/>
    </row>
    <row r="172" spans="1:9" ht="24.95" customHeight="1">
      <c r="A172" s="245"/>
      <c r="B172" s="239"/>
      <c r="C172" s="624" t="s">
        <v>242</v>
      </c>
      <c r="D172" s="624"/>
      <c r="E172" s="624"/>
      <c r="F172" s="624"/>
      <c r="G172" s="624"/>
      <c r="H172" s="239"/>
      <c r="I172" s="262"/>
    </row>
    <row r="173" spans="1:9" ht="15.75" customHeight="1">
      <c r="A173" s="237" t="s">
        <v>243</v>
      </c>
      <c r="B173" s="239"/>
      <c r="C173" s="238" t="s">
        <v>219</v>
      </c>
      <c r="D173" s="238" t="s">
        <v>230</v>
      </c>
      <c r="E173" s="239"/>
      <c r="F173" s="238" t="s">
        <v>241</v>
      </c>
      <c r="G173" s="624" t="s">
        <v>241</v>
      </c>
      <c r="H173" s="624"/>
      <c r="I173" s="621"/>
    </row>
    <row r="174" spans="1:9">
      <c r="A174" s="240">
        <f>'[12]CUSTOS SICRO - SINAPI - ORSE'!D15</f>
        <v>4016096</v>
      </c>
      <c r="B174" s="241" t="str">
        <f>'[12]CUSTOS SICRO - SINAPI - ORSE'!A15</f>
        <v>Escavação e carga de material de jazida com escavadeira hidráulica de 1,56 m³</v>
      </c>
      <c r="C174" s="242">
        <v>1.1002700000000001</v>
      </c>
      <c r="D174" s="255" t="s">
        <v>86</v>
      </c>
      <c r="E174" s="233"/>
      <c r="F174" s="244">
        <f>'[12]CUSTOS SICRO - SINAPI - ORSE'!F15</f>
        <v>1.44</v>
      </c>
      <c r="G174" s="233"/>
      <c r="H174" s="233"/>
      <c r="I174" s="261">
        <f>ROUND(C174*F174,4)</f>
        <v>1.5844</v>
      </c>
    </row>
    <row r="175" spans="1:9" ht="15.75" customHeight="1">
      <c r="A175" s="245"/>
      <c r="B175" s="239"/>
      <c r="C175" s="624" t="s">
        <v>244</v>
      </c>
      <c r="D175" s="624"/>
      <c r="E175" s="624"/>
      <c r="F175" s="624"/>
      <c r="G175" s="624"/>
      <c r="H175" s="239"/>
      <c r="I175" s="262">
        <f>ROUND(I174,4)</f>
        <v>1.5844</v>
      </c>
    </row>
    <row r="176" spans="1:9" ht="15.75" customHeight="1">
      <c r="A176" s="245"/>
      <c r="B176" s="239"/>
      <c r="C176" s="239"/>
      <c r="D176" s="239"/>
      <c r="E176" s="239"/>
      <c r="F176" s="239"/>
      <c r="G176" s="246" t="s">
        <v>245</v>
      </c>
      <c r="H176" s="239"/>
      <c r="I176" s="264">
        <f>ROUND(I168+I169+I175,4)</f>
        <v>7.9164000000000003</v>
      </c>
    </row>
    <row r="177" spans="1:9" ht="15.75" customHeight="1">
      <c r="A177" s="237" t="s">
        <v>246</v>
      </c>
      <c r="B177" s="239"/>
      <c r="C177" s="238" t="s">
        <v>201</v>
      </c>
      <c r="D177" s="238" t="s">
        <v>219</v>
      </c>
      <c r="E177" s="238" t="s">
        <v>230</v>
      </c>
      <c r="F177" s="239"/>
      <c r="G177" s="238" t="s">
        <v>241</v>
      </c>
      <c r="H177" s="624" t="s">
        <v>241</v>
      </c>
      <c r="I177" s="621"/>
    </row>
    <row r="178" spans="1:9" ht="28.5">
      <c r="A178" s="240">
        <f>'[12]CUSTOS SICRO - SINAPI - ORSE'!D16</f>
        <v>5914354</v>
      </c>
      <c r="B178" s="241" t="str">
        <f>'[12]CUSTOS SICRO - SINAPI - ORSE'!A16</f>
        <v>Escavação e carga de material de jazida com escavadeira hidráulica de 1,56 m³ - Caminhão basculante 10 m³</v>
      </c>
      <c r="C178" s="255" t="s">
        <v>275</v>
      </c>
      <c r="D178" s="242">
        <v>2.0630099999999998</v>
      </c>
      <c r="E178" s="255" t="s">
        <v>247</v>
      </c>
      <c r="F178" s="233"/>
      <c r="G178" s="244">
        <f>'[12]CUSTOS SICRO - SINAPI - ORSE'!F16</f>
        <v>1.68</v>
      </c>
      <c r="H178" s="233"/>
      <c r="I178" s="261">
        <f>ROUND(D178*G178,4)</f>
        <v>3.4659</v>
      </c>
    </row>
    <row r="179" spans="1:9" ht="15.75" customHeight="1">
      <c r="A179" s="245"/>
      <c r="B179" s="239"/>
      <c r="C179" s="624" t="s">
        <v>248</v>
      </c>
      <c r="D179" s="624"/>
      <c r="E179" s="624"/>
      <c r="F179" s="624"/>
      <c r="G179" s="624"/>
      <c r="H179" s="239"/>
      <c r="I179" s="264">
        <f>ROUND(I178,4)</f>
        <v>3.4659</v>
      </c>
    </row>
    <row r="180" spans="1:9" ht="15.75" customHeight="1">
      <c r="A180" s="616" t="s">
        <v>249</v>
      </c>
      <c r="B180" s="617"/>
      <c r="C180" s="622" t="s">
        <v>219</v>
      </c>
      <c r="D180" s="622" t="s">
        <v>230</v>
      </c>
      <c r="E180" s="622" t="s">
        <v>250</v>
      </c>
      <c r="F180" s="622"/>
      <c r="G180" s="622"/>
      <c r="H180" s="233"/>
      <c r="I180" s="621" t="s">
        <v>241</v>
      </c>
    </row>
    <row r="181" spans="1:9" ht="15.75" customHeight="1">
      <c r="A181" s="616"/>
      <c r="B181" s="617"/>
      <c r="C181" s="622"/>
      <c r="D181" s="622"/>
      <c r="E181" s="238" t="s">
        <v>251</v>
      </c>
      <c r="F181" s="238" t="s">
        <v>252</v>
      </c>
      <c r="G181" s="238" t="s">
        <v>253</v>
      </c>
      <c r="H181" s="239"/>
      <c r="I181" s="621"/>
    </row>
    <row r="182" spans="1:9" ht="28.5">
      <c r="A182" s="240" t="s">
        <v>276</v>
      </c>
      <c r="B182" s="241" t="s">
        <v>277</v>
      </c>
      <c r="C182" s="242">
        <v>206301</v>
      </c>
      <c r="D182" s="255" t="s">
        <v>255</v>
      </c>
      <c r="E182" s="255" t="s">
        <v>256</v>
      </c>
      <c r="F182" s="255" t="s">
        <v>257</v>
      </c>
      <c r="G182" s="255" t="s">
        <v>258</v>
      </c>
      <c r="H182" s="233"/>
      <c r="I182" s="267"/>
    </row>
    <row r="183" spans="1:9" ht="24.95" customHeight="1">
      <c r="A183" s="253"/>
      <c r="B183" s="233"/>
      <c r="C183" s="625" t="s">
        <v>259</v>
      </c>
      <c r="D183" s="625"/>
      <c r="E183" s="625"/>
      <c r="F183" s="625"/>
      <c r="G183" s="625"/>
      <c r="H183" s="233"/>
      <c r="I183" s="267"/>
    </row>
    <row r="184" spans="1:9" ht="15.75" customHeight="1">
      <c r="A184" s="245"/>
      <c r="B184" s="239"/>
      <c r="C184" s="239"/>
      <c r="D184" s="239"/>
      <c r="E184" s="624" t="s">
        <v>260</v>
      </c>
      <c r="F184" s="624"/>
      <c r="G184" s="624"/>
      <c r="H184" s="239"/>
      <c r="I184" s="268">
        <f>ROUND(I176+I179,2)</f>
        <v>11.38</v>
      </c>
    </row>
    <row r="186" spans="1:9" ht="23.25" customHeight="1">
      <c r="A186" s="225" t="s">
        <v>210</v>
      </c>
      <c r="B186" s="226"/>
      <c r="C186" s="226"/>
      <c r="D186" s="226"/>
      <c r="E186" s="226"/>
      <c r="F186" s="226"/>
      <c r="G186" s="226"/>
      <c r="H186" s="226"/>
      <c r="I186" s="256" t="s">
        <v>211</v>
      </c>
    </row>
    <row r="187" spans="1:9" ht="18.75" customHeight="1">
      <c r="A187" s="227" t="s">
        <v>212</v>
      </c>
      <c r="B187" s="228"/>
      <c r="C187" s="228"/>
      <c r="D187" s="229" t="s">
        <v>213</v>
      </c>
      <c r="E187" s="228"/>
      <c r="F187" s="228"/>
      <c r="G187" s="230" t="s">
        <v>261</v>
      </c>
      <c r="H187" s="231">
        <v>1.4250000000000001E-2</v>
      </c>
      <c r="I187" s="257"/>
    </row>
    <row r="188" spans="1:9" ht="15.75" customHeight="1">
      <c r="A188" s="232" t="s">
        <v>214</v>
      </c>
      <c r="B188" s="233"/>
      <c r="C188" s="233"/>
      <c r="D188" s="183">
        <v>45383</v>
      </c>
      <c r="E188" s="233"/>
      <c r="F188" s="233"/>
      <c r="G188" s="234" t="s">
        <v>215</v>
      </c>
      <c r="H188" s="235">
        <v>230.19</v>
      </c>
      <c r="I188" s="258" t="s">
        <v>86</v>
      </c>
    </row>
    <row r="189" spans="1:9" ht="30" customHeight="1">
      <c r="A189" s="236" t="s">
        <v>278</v>
      </c>
      <c r="B189" s="626" t="s">
        <v>85</v>
      </c>
      <c r="C189" s="626"/>
      <c r="D189" s="626"/>
      <c r="E189" s="626"/>
      <c r="F189" s="626"/>
      <c r="G189" s="626"/>
      <c r="H189" s="627" t="s">
        <v>217</v>
      </c>
      <c r="I189" s="628"/>
    </row>
    <row r="190" spans="1:9" ht="15.75" customHeight="1">
      <c r="A190" s="616" t="s">
        <v>218</v>
      </c>
      <c r="B190" s="617"/>
      <c r="C190" s="622" t="s">
        <v>219</v>
      </c>
      <c r="D190" s="622" t="s">
        <v>220</v>
      </c>
      <c r="E190" s="622"/>
      <c r="F190" s="622" t="s">
        <v>221</v>
      </c>
      <c r="G190" s="622"/>
      <c r="H190" s="233"/>
      <c r="I190" s="259" t="s">
        <v>222</v>
      </c>
    </row>
    <row r="191" spans="1:9" ht="15.75" customHeight="1">
      <c r="A191" s="616"/>
      <c r="B191" s="617"/>
      <c r="C191" s="622"/>
      <c r="D191" s="238" t="s">
        <v>223</v>
      </c>
      <c r="E191" s="238" t="s">
        <v>224</v>
      </c>
      <c r="F191" s="238" t="s">
        <v>225</v>
      </c>
      <c r="G191" s="238" t="s">
        <v>226</v>
      </c>
      <c r="H191" s="239"/>
      <c r="I191" s="260" t="s">
        <v>227</v>
      </c>
    </row>
    <row r="192" spans="1:9" ht="28.5">
      <c r="A192" s="240" t="str">
        <f>'Preços Insumos e Serviços'!D18</f>
        <v>E9515</v>
      </c>
      <c r="B192" s="241" t="str">
        <f>'Preços Insumos e Serviços'!B18</f>
        <v>Escavadeira hidráulica sobre esteiras com caçamba com capacidade de 1,56 m³ - 118 Kw</v>
      </c>
      <c r="C192" s="242">
        <v>1</v>
      </c>
      <c r="D192" s="243">
        <v>1</v>
      </c>
      <c r="E192" s="243">
        <v>0</v>
      </c>
      <c r="F192" s="244">
        <f>'Preços Insumos e Serviços'!F18</f>
        <v>292.88569999999999</v>
      </c>
      <c r="G192" s="244">
        <f>'Preços Insumos e Serviços'!G18</f>
        <v>135.52029999999999</v>
      </c>
      <c r="H192" s="233"/>
      <c r="I192" s="261">
        <f>ROUND(((D192*F192)+(E192*G192))*C192,4)</f>
        <v>292.88569999999999</v>
      </c>
    </row>
    <row r="193" spans="1:9" ht="15.75" customHeight="1">
      <c r="A193" s="245"/>
      <c r="B193" s="239"/>
      <c r="C193" s="239"/>
      <c r="D193" s="239"/>
      <c r="E193" s="239"/>
      <c r="F193" s="239"/>
      <c r="G193" s="246" t="s">
        <v>228</v>
      </c>
      <c r="H193" s="239"/>
      <c r="I193" s="262">
        <f>ROUND(I192,4)</f>
        <v>292.88569999999999</v>
      </c>
    </row>
    <row r="194" spans="1:9" ht="15.75" customHeight="1">
      <c r="A194" s="237" t="s">
        <v>229</v>
      </c>
      <c r="B194" s="239"/>
      <c r="C194" s="238" t="s">
        <v>219</v>
      </c>
      <c r="D194" s="238" t="s">
        <v>230</v>
      </c>
      <c r="E194" s="239"/>
      <c r="F194" s="238" t="s">
        <v>221</v>
      </c>
      <c r="G194" s="624" t="s">
        <v>231</v>
      </c>
      <c r="H194" s="624"/>
      <c r="I194" s="621"/>
    </row>
    <row r="195" spans="1:9">
      <c r="A195" s="247">
        <f>'Preços Insumos e Serviços'!D55</f>
        <v>88316</v>
      </c>
      <c r="B195" s="248" t="str">
        <f>'Preços Insumos e Serviços'!B55</f>
        <v>SERVENTE COM ENCARGOS COMPLEMENTARES</v>
      </c>
      <c r="C195" s="249">
        <v>1</v>
      </c>
      <c r="D195" s="250" t="s">
        <v>232</v>
      </c>
      <c r="E195" s="251"/>
      <c r="F195" s="252">
        <f>'Preços Insumos e Serviços'!F55</f>
        <v>23.23</v>
      </c>
      <c r="G195" s="251"/>
      <c r="H195" s="251"/>
      <c r="I195" s="263">
        <f>ROUND(C195*F195,4)</f>
        <v>23.23</v>
      </c>
    </row>
    <row r="196" spans="1:9" ht="15.75" customHeight="1">
      <c r="A196" s="253"/>
      <c r="B196" s="233"/>
      <c r="C196" s="625" t="s">
        <v>233</v>
      </c>
      <c r="D196" s="625"/>
      <c r="E196" s="625"/>
      <c r="F196" s="625"/>
      <c r="G196" s="625"/>
      <c r="H196" s="233"/>
      <c r="I196" s="261">
        <f>ROUND(I195,4)</f>
        <v>23.23</v>
      </c>
    </row>
    <row r="197" spans="1:9" ht="15.75" customHeight="1">
      <c r="A197" s="245"/>
      <c r="B197" s="239"/>
      <c r="C197" s="624" t="s">
        <v>234</v>
      </c>
      <c r="D197" s="624"/>
      <c r="E197" s="624"/>
      <c r="F197" s="624"/>
      <c r="G197" s="624"/>
      <c r="H197" s="239"/>
      <c r="I197" s="264">
        <f>ROUND(I193+I196,4)</f>
        <v>316.1157</v>
      </c>
    </row>
    <row r="198" spans="1:9" ht="15.75" customHeight="1">
      <c r="A198" s="253"/>
      <c r="B198" s="233"/>
      <c r="C198" s="625" t="s">
        <v>235</v>
      </c>
      <c r="D198" s="625"/>
      <c r="E198" s="625"/>
      <c r="F198" s="625"/>
      <c r="G198" s="625"/>
      <c r="H198" s="233"/>
      <c r="I198" s="265">
        <f>ROUNDDOWN(I197/H188,4)</f>
        <v>1.3732</v>
      </c>
    </row>
    <row r="199" spans="1:9" ht="15.75" customHeight="1">
      <c r="A199" s="253"/>
      <c r="B199" s="233"/>
      <c r="C199" s="233"/>
      <c r="D199" s="233"/>
      <c r="E199" s="233"/>
      <c r="F199" s="233"/>
      <c r="G199" s="254" t="s">
        <v>236</v>
      </c>
      <c r="H199" s="233"/>
      <c r="I199" s="266">
        <f>ROUNDUP(I198*H187,4)</f>
        <v>1.9599999999999999E-2</v>
      </c>
    </row>
    <row r="200" spans="1:9" ht="15.75" customHeight="1">
      <c r="A200" s="245"/>
      <c r="B200" s="239"/>
      <c r="C200" s="239"/>
      <c r="D200" s="239"/>
      <c r="E200" s="239"/>
      <c r="F200" s="239"/>
      <c r="G200" s="246" t="s">
        <v>238</v>
      </c>
      <c r="H200" s="239"/>
      <c r="I200" s="264" t="s">
        <v>237</v>
      </c>
    </row>
    <row r="201" spans="1:9" ht="15.75" customHeight="1">
      <c r="A201" s="237" t="s">
        <v>239</v>
      </c>
      <c r="B201" s="239"/>
      <c r="C201" s="238" t="s">
        <v>219</v>
      </c>
      <c r="D201" s="238" t="s">
        <v>230</v>
      </c>
      <c r="E201" s="239"/>
      <c r="F201" s="238" t="s">
        <v>240</v>
      </c>
      <c r="G201" s="624" t="s">
        <v>241</v>
      </c>
      <c r="H201" s="624"/>
      <c r="I201" s="621"/>
    </row>
    <row r="202" spans="1:9" ht="24.95" customHeight="1">
      <c r="A202" s="245"/>
      <c r="B202" s="239"/>
      <c r="C202" s="624" t="s">
        <v>242</v>
      </c>
      <c r="D202" s="624"/>
      <c r="E202" s="624"/>
      <c r="F202" s="624"/>
      <c r="G202" s="624"/>
      <c r="H202" s="239"/>
      <c r="I202" s="262"/>
    </row>
    <row r="203" spans="1:9" ht="15.75" customHeight="1">
      <c r="A203" s="237" t="s">
        <v>243</v>
      </c>
      <c r="B203" s="239"/>
      <c r="C203" s="238" t="s">
        <v>219</v>
      </c>
      <c r="D203" s="238" t="s">
        <v>230</v>
      </c>
      <c r="E203" s="239"/>
      <c r="F203" s="238" t="s">
        <v>241</v>
      </c>
      <c r="G203" s="624" t="s">
        <v>241</v>
      </c>
      <c r="H203" s="624"/>
      <c r="I203" s="621"/>
    </row>
    <row r="204" spans="1:9" ht="24.95" customHeight="1">
      <c r="A204" s="245"/>
      <c r="B204" s="239"/>
      <c r="C204" s="624" t="s">
        <v>244</v>
      </c>
      <c r="D204" s="624"/>
      <c r="E204" s="624"/>
      <c r="F204" s="624"/>
      <c r="G204" s="624"/>
      <c r="H204" s="239"/>
      <c r="I204" s="262"/>
    </row>
    <row r="205" spans="1:9" ht="15.75" customHeight="1">
      <c r="A205" s="245"/>
      <c r="B205" s="239"/>
      <c r="C205" s="239"/>
      <c r="D205" s="239"/>
      <c r="E205" s="239"/>
      <c r="F205" s="239"/>
      <c r="G205" s="246" t="s">
        <v>245</v>
      </c>
      <c r="H205" s="239"/>
      <c r="I205" s="264">
        <f>ROUND(I198+I199,4)</f>
        <v>1.3928</v>
      </c>
    </row>
    <row r="206" spans="1:9" ht="15.75" customHeight="1">
      <c r="A206" s="237" t="s">
        <v>246</v>
      </c>
      <c r="B206" s="239"/>
      <c r="C206" s="238" t="s">
        <v>201</v>
      </c>
      <c r="D206" s="238" t="s">
        <v>219</v>
      </c>
      <c r="E206" s="238" t="s">
        <v>230</v>
      </c>
      <c r="F206" s="239"/>
      <c r="G206" s="238" t="s">
        <v>241</v>
      </c>
      <c r="H206" s="624" t="s">
        <v>241</v>
      </c>
      <c r="I206" s="621"/>
    </row>
    <row r="207" spans="1:9" ht="24.95" customHeight="1">
      <c r="A207" s="245"/>
      <c r="B207" s="239"/>
      <c r="C207" s="624" t="s">
        <v>248</v>
      </c>
      <c r="D207" s="624"/>
      <c r="E207" s="624"/>
      <c r="F207" s="624"/>
      <c r="G207" s="624"/>
      <c r="H207" s="239"/>
      <c r="I207" s="264"/>
    </row>
    <row r="208" spans="1:9" ht="15.75" customHeight="1">
      <c r="A208" s="616" t="s">
        <v>249</v>
      </c>
      <c r="B208" s="617"/>
      <c r="C208" s="622" t="s">
        <v>219</v>
      </c>
      <c r="D208" s="622" t="s">
        <v>230</v>
      </c>
      <c r="E208" s="622" t="s">
        <v>250</v>
      </c>
      <c r="F208" s="622"/>
      <c r="G208" s="622"/>
      <c r="H208" s="233"/>
      <c r="I208" s="621" t="s">
        <v>241</v>
      </c>
    </row>
    <row r="209" spans="1:9" ht="15.75" customHeight="1">
      <c r="A209" s="616"/>
      <c r="B209" s="617"/>
      <c r="C209" s="622"/>
      <c r="D209" s="622"/>
      <c r="E209" s="238" t="s">
        <v>251</v>
      </c>
      <c r="F209" s="238" t="s">
        <v>252</v>
      </c>
      <c r="G209" s="238" t="s">
        <v>253</v>
      </c>
      <c r="H209" s="239"/>
      <c r="I209" s="621"/>
    </row>
    <row r="210" spans="1:9" ht="24.95" customHeight="1">
      <c r="A210" s="253"/>
      <c r="B210" s="233"/>
      <c r="C210" s="625" t="s">
        <v>259</v>
      </c>
      <c r="D210" s="625"/>
      <c r="E210" s="625"/>
      <c r="F210" s="625"/>
      <c r="G210" s="625"/>
      <c r="H210" s="233"/>
      <c r="I210" s="267"/>
    </row>
    <row r="211" spans="1:9" ht="15.75" customHeight="1">
      <c r="A211" s="245"/>
      <c r="B211" s="239"/>
      <c r="C211" s="239"/>
      <c r="D211" s="239"/>
      <c r="E211" s="624" t="s">
        <v>260</v>
      </c>
      <c r="F211" s="624"/>
      <c r="G211" s="624"/>
      <c r="H211" s="239"/>
      <c r="I211" s="268">
        <f>ROUND(I205,2)</f>
        <v>1.39</v>
      </c>
    </row>
    <row r="213" spans="1:9" ht="23.25" customHeight="1">
      <c r="A213" s="225" t="s">
        <v>210</v>
      </c>
      <c r="B213" s="226"/>
      <c r="C213" s="226"/>
      <c r="D213" s="226"/>
      <c r="E213" s="226"/>
      <c r="F213" s="226"/>
      <c r="G213" s="226"/>
      <c r="H213" s="226"/>
      <c r="I213" s="256" t="s">
        <v>211</v>
      </c>
    </row>
    <row r="214" spans="1:9" ht="18.75" customHeight="1">
      <c r="A214" s="227" t="s">
        <v>212</v>
      </c>
      <c r="B214" s="228"/>
      <c r="C214" s="228"/>
      <c r="D214" s="229" t="s">
        <v>213</v>
      </c>
      <c r="E214" s="228"/>
      <c r="F214" s="228"/>
      <c r="G214" s="230" t="s">
        <v>261</v>
      </c>
      <c r="H214" s="231">
        <v>1.4250000000000001E-2</v>
      </c>
      <c r="I214" s="257"/>
    </row>
    <row r="215" spans="1:9" ht="15.75" customHeight="1">
      <c r="A215" s="232" t="s">
        <v>214</v>
      </c>
      <c r="B215" s="233"/>
      <c r="C215" s="233"/>
      <c r="D215" s="183">
        <v>45383</v>
      </c>
      <c r="E215" s="233"/>
      <c r="F215" s="233"/>
      <c r="G215" s="234" t="s">
        <v>215</v>
      </c>
      <c r="H215" s="235">
        <v>26</v>
      </c>
      <c r="I215" s="258" t="s">
        <v>86</v>
      </c>
    </row>
    <row r="216" spans="1:9" ht="57.75" customHeight="1">
      <c r="A216" s="236" t="s">
        <v>279</v>
      </c>
      <c r="B216" s="626" t="s">
        <v>106</v>
      </c>
      <c r="C216" s="626"/>
      <c r="D216" s="626"/>
      <c r="E216" s="626"/>
      <c r="F216" s="626"/>
      <c r="G216" s="626"/>
      <c r="H216" s="627" t="s">
        <v>217</v>
      </c>
      <c r="I216" s="628"/>
    </row>
    <row r="217" spans="1:9" ht="15.75" customHeight="1">
      <c r="A217" s="616" t="s">
        <v>218</v>
      </c>
      <c r="B217" s="617"/>
      <c r="C217" s="622" t="s">
        <v>219</v>
      </c>
      <c r="D217" s="622" t="s">
        <v>220</v>
      </c>
      <c r="E217" s="622"/>
      <c r="F217" s="622" t="s">
        <v>221</v>
      </c>
      <c r="G217" s="622"/>
      <c r="H217" s="233"/>
      <c r="I217" s="259" t="s">
        <v>222</v>
      </c>
    </row>
    <row r="218" spans="1:9" ht="15.75" customHeight="1">
      <c r="A218" s="616"/>
      <c r="B218" s="617"/>
      <c r="C218" s="622"/>
      <c r="D218" s="238" t="s">
        <v>223</v>
      </c>
      <c r="E218" s="238" t="s">
        <v>224</v>
      </c>
      <c r="F218" s="238" t="s">
        <v>225</v>
      </c>
      <c r="G218" s="238" t="s">
        <v>226</v>
      </c>
      <c r="H218" s="239"/>
      <c r="I218" s="260" t="s">
        <v>227</v>
      </c>
    </row>
    <row r="219" spans="1:9">
      <c r="A219" s="240" t="str">
        <f>'[12]CUSTOS SICRO - SINAPI - ORSE'!D29</f>
        <v>E9526</v>
      </c>
      <c r="B219" s="241" t="str">
        <f>'[12]CUSTOS SICRO - SINAPI - ORSE'!A29</f>
        <v>Retroescavadeira de pneus com capacidade de 0,76 m³ - 58 Kw</v>
      </c>
      <c r="C219" s="242">
        <v>1</v>
      </c>
      <c r="D219" s="243">
        <v>1</v>
      </c>
      <c r="E219" s="243">
        <v>0</v>
      </c>
      <c r="F219" s="244">
        <f>'[12]CUSTOS SICRO - SINAPI - ORSE'!F29</f>
        <v>153.52449999999999</v>
      </c>
      <c r="G219" s="244">
        <f>'[12]CUSTOS SICRO - SINAPI - ORSE'!G29</f>
        <v>84.3172</v>
      </c>
      <c r="H219" s="233"/>
      <c r="I219" s="261">
        <f>(((D219*F219)+(E219*G219))*C219)</f>
        <v>153.52449999999999</v>
      </c>
    </row>
    <row r="220" spans="1:9" ht="15.75" customHeight="1">
      <c r="A220" s="245"/>
      <c r="B220" s="239"/>
      <c r="C220" s="239"/>
      <c r="D220" s="239"/>
      <c r="E220" s="239"/>
      <c r="F220" s="239"/>
      <c r="G220" s="246" t="s">
        <v>228</v>
      </c>
      <c r="H220" s="239"/>
      <c r="I220" s="262">
        <f>SUM(I219)</f>
        <v>153.52449999999999</v>
      </c>
    </row>
    <row r="221" spans="1:9" ht="15.75" customHeight="1">
      <c r="A221" s="237" t="s">
        <v>229</v>
      </c>
      <c r="B221" s="239"/>
      <c r="C221" s="238" t="s">
        <v>219</v>
      </c>
      <c r="D221" s="238" t="s">
        <v>230</v>
      </c>
      <c r="E221" s="239"/>
      <c r="F221" s="238" t="s">
        <v>221</v>
      </c>
      <c r="G221" s="624" t="s">
        <v>231</v>
      </c>
      <c r="H221" s="624"/>
      <c r="I221" s="621"/>
    </row>
    <row r="222" spans="1:9">
      <c r="A222" s="247">
        <f>'Preços Insumos e Serviços'!D55</f>
        <v>88316</v>
      </c>
      <c r="B222" s="248" t="str">
        <f>'Preços Insumos e Serviços'!B55</f>
        <v>SERVENTE COM ENCARGOS COMPLEMENTARES</v>
      </c>
      <c r="C222" s="249">
        <v>1</v>
      </c>
      <c r="D222" s="250" t="s">
        <v>232</v>
      </c>
      <c r="E222" s="251"/>
      <c r="F222" s="252">
        <f>'Preços Insumos e Serviços'!F55</f>
        <v>23.23</v>
      </c>
      <c r="G222" s="251"/>
      <c r="H222" s="251"/>
      <c r="I222" s="263">
        <f>C222*F222</f>
        <v>23.23</v>
      </c>
    </row>
    <row r="223" spans="1:9" ht="15.75" customHeight="1">
      <c r="A223" s="253"/>
      <c r="B223" s="233"/>
      <c r="C223" s="625" t="s">
        <v>233</v>
      </c>
      <c r="D223" s="625"/>
      <c r="E223" s="625"/>
      <c r="F223" s="625"/>
      <c r="G223" s="625"/>
      <c r="H223" s="233"/>
      <c r="I223" s="261">
        <f>SUM(I222)</f>
        <v>23.23</v>
      </c>
    </row>
    <row r="224" spans="1:9" ht="15.75" customHeight="1">
      <c r="A224" s="245"/>
      <c r="B224" s="239"/>
      <c r="C224" s="624" t="s">
        <v>234</v>
      </c>
      <c r="D224" s="624"/>
      <c r="E224" s="624"/>
      <c r="F224" s="624"/>
      <c r="G224" s="624"/>
      <c r="H224" s="239"/>
      <c r="I224" s="264">
        <f>SUM(I220,I223)</f>
        <v>176.75450000000001</v>
      </c>
    </row>
    <row r="225" spans="1:9" ht="15.75" customHeight="1">
      <c r="A225" s="253"/>
      <c r="B225" s="233"/>
      <c r="C225" s="625" t="s">
        <v>235</v>
      </c>
      <c r="D225" s="625"/>
      <c r="E225" s="625"/>
      <c r="F225" s="625"/>
      <c r="G225" s="625"/>
      <c r="H225" s="233"/>
      <c r="I225" s="265">
        <f>I224/H215</f>
        <v>6.7982500000000003</v>
      </c>
    </row>
    <row r="226" spans="1:9" ht="15.75" customHeight="1">
      <c r="A226" s="253"/>
      <c r="B226" s="233"/>
      <c r="C226" s="233"/>
      <c r="D226" s="233"/>
      <c r="E226" s="233"/>
      <c r="F226" s="233"/>
      <c r="G226" s="254" t="s">
        <v>236</v>
      </c>
      <c r="H226" s="233"/>
      <c r="I226" s="266">
        <f>ROUNDDOWN(I225*H214,4)</f>
        <v>9.6799999999999997E-2</v>
      </c>
    </row>
    <row r="227" spans="1:9" ht="15.75" customHeight="1">
      <c r="A227" s="245"/>
      <c r="B227" s="239"/>
      <c r="C227" s="239"/>
      <c r="D227" s="239"/>
      <c r="E227" s="239"/>
      <c r="F227" s="239"/>
      <c r="G227" s="246" t="s">
        <v>238</v>
      </c>
      <c r="H227" s="239"/>
      <c r="I227" s="264" t="s">
        <v>237</v>
      </c>
    </row>
    <row r="228" spans="1:9" ht="15.75" customHeight="1">
      <c r="A228" s="237" t="s">
        <v>239</v>
      </c>
      <c r="B228" s="239"/>
      <c r="C228" s="238" t="s">
        <v>219</v>
      </c>
      <c r="D228" s="238" t="s">
        <v>230</v>
      </c>
      <c r="E228" s="239"/>
      <c r="F228" s="238" t="s">
        <v>240</v>
      </c>
      <c r="G228" s="624" t="s">
        <v>241</v>
      </c>
      <c r="H228" s="624"/>
      <c r="I228" s="621"/>
    </row>
    <row r="229" spans="1:9" ht="24.95" customHeight="1">
      <c r="A229" s="245"/>
      <c r="B229" s="239"/>
      <c r="C229" s="624" t="s">
        <v>242</v>
      </c>
      <c r="D229" s="624"/>
      <c r="E229" s="624"/>
      <c r="F229" s="624"/>
      <c r="G229" s="624"/>
      <c r="H229" s="239"/>
      <c r="I229" s="262"/>
    </row>
    <row r="230" spans="1:9" ht="15.75" customHeight="1">
      <c r="A230" s="237" t="s">
        <v>243</v>
      </c>
      <c r="B230" s="239"/>
      <c r="C230" s="238" t="s">
        <v>219</v>
      </c>
      <c r="D230" s="238" t="s">
        <v>230</v>
      </c>
      <c r="E230" s="239"/>
      <c r="F230" s="238" t="s">
        <v>241</v>
      </c>
      <c r="G230" s="624" t="s">
        <v>241</v>
      </c>
      <c r="H230" s="624"/>
      <c r="I230" s="621"/>
    </row>
    <row r="231" spans="1:9" ht="24.95" customHeight="1">
      <c r="A231" s="245"/>
      <c r="B231" s="239"/>
      <c r="C231" s="624" t="s">
        <v>244</v>
      </c>
      <c r="D231" s="624"/>
      <c r="E231" s="624"/>
      <c r="F231" s="624"/>
      <c r="G231" s="624"/>
      <c r="H231" s="239"/>
      <c r="I231" s="262"/>
    </row>
    <row r="232" spans="1:9" ht="15.75" customHeight="1">
      <c r="A232" s="245"/>
      <c r="B232" s="239"/>
      <c r="C232" s="239"/>
      <c r="D232" s="239"/>
      <c r="E232" s="239"/>
      <c r="F232" s="239"/>
      <c r="G232" s="246" t="s">
        <v>245</v>
      </c>
      <c r="H232" s="239"/>
      <c r="I232" s="264">
        <f>ROUNDUP(I225+I226,4)</f>
        <v>6.8951000000000002</v>
      </c>
    </row>
    <row r="233" spans="1:9" ht="15.75" customHeight="1">
      <c r="A233" s="237" t="s">
        <v>246</v>
      </c>
      <c r="B233" s="239"/>
      <c r="C233" s="238" t="s">
        <v>201</v>
      </c>
      <c r="D233" s="238" t="s">
        <v>219</v>
      </c>
      <c r="E233" s="238" t="s">
        <v>230</v>
      </c>
      <c r="F233" s="239"/>
      <c r="G233" s="238" t="s">
        <v>241</v>
      </c>
      <c r="H233" s="624" t="s">
        <v>241</v>
      </c>
      <c r="I233" s="621"/>
    </row>
    <row r="234" spans="1:9" ht="24.95" customHeight="1">
      <c r="A234" s="245"/>
      <c r="B234" s="239"/>
      <c r="C234" s="624" t="s">
        <v>248</v>
      </c>
      <c r="D234" s="624"/>
      <c r="E234" s="624"/>
      <c r="F234" s="624"/>
      <c r="G234" s="624"/>
      <c r="H234" s="239"/>
      <c r="I234" s="264"/>
    </row>
    <row r="235" spans="1:9" ht="15.75" customHeight="1">
      <c r="A235" s="616" t="s">
        <v>249</v>
      </c>
      <c r="B235" s="617"/>
      <c r="C235" s="622" t="s">
        <v>219</v>
      </c>
      <c r="D235" s="622" t="s">
        <v>230</v>
      </c>
      <c r="E235" s="622" t="s">
        <v>250</v>
      </c>
      <c r="F235" s="622"/>
      <c r="G235" s="622"/>
      <c r="H235" s="233"/>
      <c r="I235" s="621" t="s">
        <v>241</v>
      </c>
    </row>
    <row r="236" spans="1:9" ht="15.75" customHeight="1">
      <c r="A236" s="616"/>
      <c r="B236" s="617"/>
      <c r="C236" s="622"/>
      <c r="D236" s="622"/>
      <c r="E236" s="238" t="s">
        <v>251</v>
      </c>
      <c r="F236" s="238" t="s">
        <v>252</v>
      </c>
      <c r="G236" s="238" t="s">
        <v>253</v>
      </c>
      <c r="H236" s="239"/>
      <c r="I236" s="621"/>
    </row>
    <row r="237" spans="1:9" ht="24.95" customHeight="1">
      <c r="A237" s="253"/>
      <c r="B237" s="233"/>
      <c r="C237" s="625" t="s">
        <v>259</v>
      </c>
      <c r="D237" s="625"/>
      <c r="E237" s="625"/>
      <c r="F237" s="625"/>
      <c r="G237" s="625"/>
      <c r="H237" s="233"/>
      <c r="I237" s="267"/>
    </row>
    <row r="238" spans="1:9" ht="15.75" customHeight="1">
      <c r="A238" s="245"/>
      <c r="B238" s="239"/>
      <c r="C238" s="239"/>
      <c r="D238" s="239"/>
      <c r="E238" s="624" t="s">
        <v>260</v>
      </c>
      <c r="F238" s="624"/>
      <c r="G238" s="624"/>
      <c r="H238" s="239"/>
      <c r="I238" s="268">
        <f>ROUND(I232,2)</f>
        <v>6.9</v>
      </c>
    </row>
    <row r="240" spans="1:9" ht="23.25" customHeight="1">
      <c r="A240" s="225" t="s">
        <v>210</v>
      </c>
      <c r="B240" s="226"/>
      <c r="C240" s="226"/>
      <c r="D240" s="226"/>
      <c r="E240" s="226"/>
      <c r="F240" s="226"/>
      <c r="G240" s="226"/>
      <c r="H240" s="226"/>
      <c r="I240" s="256" t="s">
        <v>211</v>
      </c>
    </row>
    <row r="241" spans="1:9" ht="18.75" customHeight="1">
      <c r="A241" s="227" t="s">
        <v>212</v>
      </c>
      <c r="B241" s="228"/>
      <c r="C241" s="228"/>
      <c r="D241" s="229" t="s">
        <v>213</v>
      </c>
      <c r="E241" s="228"/>
      <c r="F241" s="228"/>
      <c r="G241" s="230" t="s">
        <v>261</v>
      </c>
      <c r="H241" s="231">
        <v>1.4250000000000001E-2</v>
      </c>
      <c r="I241" s="257"/>
    </row>
    <row r="242" spans="1:9" ht="15.75" customHeight="1">
      <c r="A242" s="232" t="s">
        <v>214</v>
      </c>
      <c r="B242" s="233"/>
      <c r="C242" s="233"/>
      <c r="D242" s="183">
        <v>45383</v>
      </c>
      <c r="E242" s="233"/>
      <c r="F242" s="233"/>
      <c r="G242" s="234" t="s">
        <v>215</v>
      </c>
      <c r="H242" s="235">
        <v>348.6</v>
      </c>
      <c r="I242" s="258" t="s">
        <v>255</v>
      </c>
    </row>
    <row r="243" spans="1:9" ht="30" customHeight="1">
      <c r="A243" s="236" t="s">
        <v>280</v>
      </c>
      <c r="B243" s="626" t="s">
        <v>89</v>
      </c>
      <c r="C243" s="626"/>
      <c r="D243" s="626"/>
      <c r="E243" s="626"/>
      <c r="F243" s="626"/>
      <c r="G243" s="626"/>
      <c r="H243" s="627" t="s">
        <v>217</v>
      </c>
      <c r="I243" s="628"/>
    </row>
    <row r="244" spans="1:9" ht="15.75" customHeight="1">
      <c r="A244" s="616" t="s">
        <v>218</v>
      </c>
      <c r="B244" s="617"/>
      <c r="C244" s="622" t="s">
        <v>219</v>
      </c>
      <c r="D244" s="622" t="s">
        <v>220</v>
      </c>
      <c r="E244" s="622"/>
      <c r="F244" s="622" t="s">
        <v>221</v>
      </c>
      <c r="G244" s="622"/>
      <c r="H244" s="233"/>
      <c r="I244" s="259" t="s">
        <v>222</v>
      </c>
    </row>
    <row r="245" spans="1:9" ht="15.75" customHeight="1">
      <c r="A245" s="616"/>
      <c r="B245" s="617"/>
      <c r="C245" s="622"/>
      <c r="D245" s="238" t="s">
        <v>223</v>
      </c>
      <c r="E245" s="238" t="s">
        <v>224</v>
      </c>
      <c r="F245" s="238" t="s">
        <v>225</v>
      </c>
      <c r="G245" s="238" t="s">
        <v>226</v>
      </c>
      <c r="H245" s="239"/>
      <c r="I245" s="260" t="s">
        <v>227</v>
      </c>
    </row>
    <row r="246" spans="1:9" ht="28.5">
      <c r="A246" s="240" t="str">
        <f>'Preços Insumos e Serviços'!D6</f>
        <v>E9575</v>
      </c>
      <c r="B246" s="241" t="str">
        <f>'Preços Insumos e Serviços'!B6</f>
        <v>Caminhão basculante com caçamba estanque com capacidade de 14 m³ - 188 kW</v>
      </c>
      <c r="C246" s="242">
        <v>1</v>
      </c>
      <c r="D246" s="243">
        <v>1</v>
      </c>
      <c r="E246" s="243">
        <v>0</v>
      </c>
      <c r="F246" s="244">
        <f>'Preços Insumos e Serviços'!F6</f>
        <v>308.99459999999999</v>
      </c>
      <c r="G246" s="244">
        <f>'Preços Insumos e Serviços'!G6</f>
        <v>94.444500000000005</v>
      </c>
      <c r="H246" s="233"/>
      <c r="I246" s="261">
        <f>(((D246*F246)+(E246*G246))*C246)</f>
        <v>308.99459999999999</v>
      </c>
    </row>
    <row r="247" spans="1:9" ht="15.75" customHeight="1">
      <c r="A247" s="245"/>
      <c r="B247" s="239"/>
      <c r="C247" s="239"/>
      <c r="D247" s="239"/>
      <c r="E247" s="239"/>
      <c r="F247" s="239"/>
      <c r="G247" s="246" t="s">
        <v>228</v>
      </c>
      <c r="H247" s="239"/>
      <c r="I247" s="262">
        <f>SUM(I246)</f>
        <v>308.99459999999999</v>
      </c>
    </row>
    <row r="248" spans="1:9" ht="15.75" customHeight="1">
      <c r="A248" s="237" t="s">
        <v>229</v>
      </c>
      <c r="B248" s="239"/>
      <c r="C248" s="238" t="s">
        <v>219</v>
      </c>
      <c r="D248" s="238" t="s">
        <v>230</v>
      </c>
      <c r="E248" s="239"/>
      <c r="F248" s="238" t="s">
        <v>221</v>
      </c>
      <c r="G248" s="624" t="s">
        <v>231</v>
      </c>
      <c r="H248" s="624"/>
      <c r="I248" s="621"/>
    </row>
    <row r="249" spans="1:9" ht="24.95" customHeight="1">
      <c r="A249" s="253"/>
      <c r="B249" s="233"/>
      <c r="C249" s="625" t="s">
        <v>233</v>
      </c>
      <c r="D249" s="625"/>
      <c r="E249" s="625"/>
      <c r="F249" s="625"/>
      <c r="G249" s="625"/>
      <c r="H249" s="233"/>
      <c r="I249" s="261"/>
    </row>
    <row r="250" spans="1:9" ht="15.75" customHeight="1">
      <c r="A250" s="245"/>
      <c r="B250" s="239"/>
      <c r="C250" s="624" t="s">
        <v>234</v>
      </c>
      <c r="D250" s="624"/>
      <c r="E250" s="624"/>
      <c r="F250" s="624"/>
      <c r="G250" s="624"/>
      <c r="H250" s="239"/>
      <c r="I250" s="264">
        <f>I247</f>
        <v>308.99459999999999</v>
      </c>
    </row>
    <row r="251" spans="1:9" ht="15.75" customHeight="1">
      <c r="A251" s="253"/>
      <c r="B251" s="233"/>
      <c r="C251" s="625" t="s">
        <v>235</v>
      </c>
      <c r="D251" s="625"/>
      <c r="E251" s="625"/>
      <c r="F251" s="625"/>
      <c r="G251" s="625"/>
      <c r="H251" s="233"/>
      <c r="I251" s="265">
        <f>I250/H242</f>
        <v>0.88638726333907003</v>
      </c>
    </row>
    <row r="252" spans="1:9" ht="15.75" customHeight="1">
      <c r="A252" s="253"/>
      <c r="B252" s="233"/>
      <c r="C252" s="233"/>
      <c r="D252" s="233"/>
      <c r="E252" s="233"/>
      <c r="F252" s="233"/>
      <c r="G252" s="254" t="s">
        <v>236</v>
      </c>
      <c r="H252" s="233"/>
      <c r="I252" s="265">
        <f>ROUNDDOWN(I251*H241,4)</f>
        <v>1.26E-2</v>
      </c>
    </row>
    <row r="253" spans="1:9" ht="15.75" customHeight="1">
      <c r="A253" s="245"/>
      <c r="B253" s="239"/>
      <c r="C253" s="239"/>
      <c r="D253" s="239"/>
      <c r="E253" s="239"/>
      <c r="F253" s="239"/>
      <c r="G253" s="246" t="s">
        <v>238</v>
      </c>
      <c r="H253" s="239"/>
      <c r="I253" s="264" t="s">
        <v>237</v>
      </c>
    </row>
    <row r="254" spans="1:9" ht="15.75" customHeight="1">
      <c r="A254" s="237" t="s">
        <v>239</v>
      </c>
      <c r="B254" s="239"/>
      <c r="C254" s="238" t="s">
        <v>219</v>
      </c>
      <c r="D254" s="238" t="s">
        <v>230</v>
      </c>
      <c r="E254" s="239"/>
      <c r="F254" s="238" t="s">
        <v>240</v>
      </c>
      <c r="G254" s="624" t="s">
        <v>241</v>
      </c>
      <c r="H254" s="624"/>
      <c r="I254" s="621"/>
    </row>
    <row r="255" spans="1:9" ht="24.95" customHeight="1">
      <c r="A255" s="245"/>
      <c r="B255" s="239"/>
      <c r="C255" s="624" t="s">
        <v>242</v>
      </c>
      <c r="D255" s="624"/>
      <c r="E255" s="624"/>
      <c r="F255" s="624"/>
      <c r="G255" s="624"/>
      <c r="H255" s="239"/>
      <c r="I255" s="262"/>
    </row>
    <row r="256" spans="1:9" ht="15.75" customHeight="1">
      <c r="A256" s="237" t="s">
        <v>243</v>
      </c>
      <c r="B256" s="239"/>
      <c r="C256" s="238" t="s">
        <v>219</v>
      </c>
      <c r="D256" s="238" t="s">
        <v>230</v>
      </c>
      <c r="E256" s="239"/>
      <c r="F256" s="238" t="s">
        <v>241</v>
      </c>
      <c r="G256" s="624" t="s">
        <v>241</v>
      </c>
      <c r="H256" s="624"/>
      <c r="I256" s="621"/>
    </row>
    <row r="257" spans="1:9" ht="24.95" customHeight="1">
      <c r="A257" s="245"/>
      <c r="B257" s="239"/>
      <c r="C257" s="624" t="s">
        <v>244</v>
      </c>
      <c r="D257" s="624"/>
      <c r="E257" s="624"/>
      <c r="F257" s="624"/>
      <c r="G257" s="624"/>
      <c r="H257" s="239"/>
      <c r="I257" s="262"/>
    </row>
    <row r="258" spans="1:9" ht="15.75" customHeight="1">
      <c r="A258" s="245"/>
      <c r="B258" s="239"/>
      <c r="C258" s="239"/>
      <c r="D258" s="239"/>
      <c r="E258" s="239"/>
      <c r="F258" s="239"/>
      <c r="G258" s="246" t="s">
        <v>245</v>
      </c>
      <c r="H258" s="239"/>
      <c r="I258" s="264">
        <f>SUM(I251:I252)</f>
        <v>0.89898726333907097</v>
      </c>
    </row>
    <row r="259" spans="1:9" ht="15.75" customHeight="1">
      <c r="A259" s="237" t="s">
        <v>246</v>
      </c>
      <c r="B259" s="239"/>
      <c r="C259" s="238" t="s">
        <v>201</v>
      </c>
      <c r="D259" s="238" t="s">
        <v>219</v>
      </c>
      <c r="E259" s="238" t="s">
        <v>230</v>
      </c>
      <c r="F259" s="239"/>
      <c r="G259" s="238" t="s">
        <v>241</v>
      </c>
      <c r="H259" s="624" t="s">
        <v>241</v>
      </c>
      <c r="I259" s="621"/>
    </row>
    <row r="260" spans="1:9" ht="24.95" customHeight="1">
      <c r="A260" s="245"/>
      <c r="B260" s="239"/>
      <c r="C260" s="624" t="s">
        <v>248</v>
      </c>
      <c r="D260" s="624"/>
      <c r="E260" s="624"/>
      <c r="F260" s="624"/>
      <c r="G260" s="624"/>
      <c r="H260" s="239"/>
      <c r="I260" s="264"/>
    </row>
    <row r="261" spans="1:9" ht="15.75" customHeight="1">
      <c r="A261" s="616" t="s">
        <v>249</v>
      </c>
      <c r="B261" s="617"/>
      <c r="C261" s="622" t="s">
        <v>219</v>
      </c>
      <c r="D261" s="622" t="s">
        <v>230</v>
      </c>
      <c r="E261" s="622" t="s">
        <v>250</v>
      </c>
      <c r="F261" s="622"/>
      <c r="G261" s="622"/>
      <c r="H261" s="233"/>
      <c r="I261" s="621" t="s">
        <v>241</v>
      </c>
    </row>
    <row r="262" spans="1:9" ht="15.75" customHeight="1">
      <c r="A262" s="616"/>
      <c r="B262" s="617"/>
      <c r="C262" s="622"/>
      <c r="D262" s="622"/>
      <c r="E262" s="238" t="s">
        <v>251</v>
      </c>
      <c r="F262" s="238" t="s">
        <v>252</v>
      </c>
      <c r="G262" s="238" t="s">
        <v>253</v>
      </c>
      <c r="H262" s="239"/>
      <c r="I262" s="621"/>
    </row>
    <row r="263" spans="1:9" ht="24.95" customHeight="1">
      <c r="A263" s="253"/>
      <c r="B263" s="233"/>
      <c r="C263" s="625" t="s">
        <v>259</v>
      </c>
      <c r="D263" s="625"/>
      <c r="E263" s="625"/>
      <c r="F263" s="625"/>
      <c r="G263" s="625"/>
      <c r="H263" s="233"/>
      <c r="I263" s="267"/>
    </row>
    <row r="264" spans="1:9" ht="15.75" customHeight="1">
      <c r="A264" s="245"/>
      <c r="B264" s="239"/>
      <c r="C264" s="239"/>
      <c r="D264" s="239"/>
      <c r="E264" s="624" t="s">
        <v>260</v>
      </c>
      <c r="F264" s="624"/>
      <c r="G264" s="624"/>
      <c r="H264" s="239"/>
      <c r="I264" s="269">
        <f>ROUND(I258,2)</f>
        <v>0.9</v>
      </c>
    </row>
    <row r="266" spans="1:9" ht="23.25" customHeight="1">
      <c r="A266" s="225" t="s">
        <v>210</v>
      </c>
      <c r="B266" s="226"/>
      <c r="C266" s="226"/>
      <c r="D266" s="226"/>
      <c r="E266" s="226"/>
      <c r="F266" s="226"/>
      <c r="G266" s="226"/>
      <c r="H266" s="226"/>
      <c r="I266" s="256" t="s">
        <v>211</v>
      </c>
    </row>
    <row r="267" spans="1:9" ht="18.75" customHeight="1">
      <c r="A267" s="227" t="s">
        <v>212</v>
      </c>
      <c r="B267" s="228"/>
      <c r="C267" s="228"/>
      <c r="D267" s="229" t="s">
        <v>213</v>
      </c>
      <c r="E267" s="228"/>
      <c r="F267" s="228"/>
      <c r="G267" s="230" t="s">
        <v>261</v>
      </c>
      <c r="H267" s="231">
        <v>1.4250000000000001E-2</v>
      </c>
      <c r="I267" s="257"/>
    </row>
    <row r="268" spans="1:9" ht="15.75" customHeight="1">
      <c r="A268" s="232" t="s">
        <v>214</v>
      </c>
      <c r="B268" s="233"/>
      <c r="C268" s="233"/>
      <c r="D268" s="183">
        <v>45383</v>
      </c>
      <c r="E268" s="233"/>
      <c r="F268" s="233"/>
      <c r="G268" s="234" t="s">
        <v>215</v>
      </c>
      <c r="H268" s="235">
        <v>609.78</v>
      </c>
      <c r="I268" s="258" t="s">
        <v>255</v>
      </c>
    </row>
    <row r="269" spans="1:9" ht="30" customHeight="1">
      <c r="A269" s="236" t="s">
        <v>281</v>
      </c>
      <c r="B269" s="626" t="s">
        <v>282</v>
      </c>
      <c r="C269" s="626"/>
      <c r="D269" s="626"/>
      <c r="E269" s="626"/>
      <c r="F269" s="626"/>
      <c r="G269" s="626"/>
      <c r="H269" s="627" t="s">
        <v>217</v>
      </c>
      <c r="I269" s="628"/>
    </row>
    <row r="270" spans="1:9" ht="15.75" customHeight="1">
      <c r="A270" s="616" t="s">
        <v>218</v>
      </c>
      <c r="B270" s="617"/>
      <c r="C270" s="622" t="s">
        <v>219</v>
      </c>
      <c r="D270" s="622" t="s">
        <v>220</v>
      </c>
      <c r="E270" s="622"/>
      <c r="F270" s="622" t="s">
        <v>221</v>
      </c>
      <c r="G270" s="622"/>
      <c r="H270" s="233"/>
      <c r="I270" s="259" t="s">
        <v>222</v>
      </c>
    </row>
    <row r="271" spans="1:9" ht="15.75" customHeight="1">
      <c r="A271" s="616"/>
      <c r="B271" s="617"/>
      <c r="C271" s="622"/>
      <c r="D271" s="238" t="s">
        <v>223</v>
      </c>
      <c r="E271" s="238" t="s">
        <v>224</v>
      </c>
      <c r="F271" s="238" t="s">
        <v>225</v>
      </c>
      <c r="G271" s="238" t="s">
        <v>226</v>
      </c>
      <c r="H271" s="239"/>
      <c r="I271" s="260" t="s">
        <v>227</v>
      </c>
    </row>
    <row r="272" spans="1:9">
      <c r="A272" s="240" t="str">
        <f>'Preços Insumos e Serviços'!D11</f>
        <v>E9666</v>
      </c>
      <c r="B272" s="241" t="str">
        <f>'Preços Insumos e Serviços'!B11</f>
        <v>Cavalo mecânico com semirreboque com capacidade de 30 t - 265 kW</v>
      </c>
      <c r="C272" s="242">
        <v>1</v>
      </c>
      <c r="D272" s="243">
        <v>1</v>
      </c>
      <c r="E272" s="243">
        <v>0</v>
      </c>
      <c r="F272" s="244">
        <f>'Preços Insumos e Serviços'!F11</f>
        <v>416.79379999999998</v>
      </c>
      <c r="G272" s="244">
        <f>'Preços Insumos e Serviços'!G11</f>
        <v>132.61709999999999</v>
      </c>
      <c r="H272" s="233"/>
      <c r="I272" s="261">
        <f>(((D272*F272)+(E272*G272))*C272)</f>
        <v>416.79379999999998</v>
      </c>
    </row>
    <row r="273" spans="1:9" ht="15.75" customHeight="1">
      <c r="A273" s="245"/>
      <c r="B273" s="239"/>
      <c r="C273" s="239"/>
      <c r="D273" s="239"/>
      <c r="E273" s="239"/>
      <c r="F273" s="239"/>
      <c r="G273" s="246" t="s">
        <v>228</v>
      </c>
      <c r="H273" s="239"/>
      <c r="I273" s="262">
        <f>SUM(I272)</f>
        <v>416.79379999999998</v>
      </c>
    </row>
    <row r="274" spans="1:9" ht="15.75" customHeight="1">
      <c r="A274" s="237" t="s">
        <v>229</v>
      </c>
      <c r="B274" s="239"/>
      <c r="C274" s="238" t="s">
        <v>219</v>
      </c>
      <c r="D274" s="238" t="s">
        <v>230</v>
      </c>
      <c r="E274" s="239"/>
      <c r="F274" s="238" t="s">
        <v>221</v>
      </c>
      <c r="G274" s="624" t="s">
        <v>231</v>
      </c>
      <c r="H274" s="624"/>
      <c r="I274" s="621"/>
    </row>
    <row r="275" spans="1:9" ht="24.95" customHeight="1">
      <c r="A275" s="253"/>
      <c r="B275" s="233"/>
      <c r="C275" s="625" t="s">
        <v>233</v>
      </c>
      <c r="D275" s="625"/>
      <c r="E275" s="625"/>
      <c r="F275" s="625"/>
      <c r="G275" s="625"/>
      <c r="H275" s="233"/>
      <c r="I275" s="261"/>
    </row>
    <row r="276" spans="1:9" ht="15.75" customHeight="1">
      <c r="A276" s="245"/>
      <c r="B276" s="239"/>
      <c r="C276" s="624" t="s">
        <v>234</v>
      </c>
      <c r="D276" s="624"/>
      <c r="E276" s="624"/>
      <c r="F276" s="624"/>
      <c r="G276" s="624"/>
      <c r="H276" s="239"/>
      <c r="I276" s="264">
        <f>I273</f>
        <v>416.79379999999998</v>
      </c>
    </row>
    <row r="277" spans="1:9" ht="15.75" customHeight="1">
      <c r="A277" s="253"/>
      <c r="B277" s="233"/>
      <c r="C277" s="625" t="s">
        <v>235</v>
      </c>
      <c r="D277" s="625"/>
      <c r="E277" s="625"/>
      <c r="F277" s="625"/>
      <c r="G277" s="625"/>
      <c r="H277" s="233"/>
      <c r="I277" s="265">
        <f>ROUND(I276/H268,4)</f>
        <v>0.6835</v>
      </c>
    </row>
    <row r="278" spans="1:9" ht="15.75" customHeight="1">
      <c r="A278" s="253"/>
      <c r="B278" s="233"/>
      <c r="C278" s="233"/>
      <c r="D278" s="233"/>
      <c r="E278" s="233"/>
      <c r="F278" s="233"/>
      <c r="G278" s="254" t="s">
        <v>236</v>
      </c>
      <c r="H278" s="233"/>
      <c r="I278" s="265">
        <f>ROUNDUP(I277*H267,4)</f>
        <v>9.7999999999999997E-3</v>
      </c>
    </row>
    <row r="279" spans="1:9" ht="15.75" customHeight="1">
      <c r="A279" s="245"/>
      <c r="B279" s="239"/>
      <c r="C279" s="239"/>
      <c r="D279" s="239"/>
      <c r="E279" s="239"/>
      <c r="F279" s="239"/>
      <c r="G279" s="246" t="s">
        <v>238</v>
      </c>
      <c r="H279" s="239"/>
      <c r="I279" s="264" t="s">
        <v>237</v>
      </c>
    </row>
    <row r="280" spans="1:9" ht="15.75" customHeight="1">
      <c r="A280" s="237" t="s">
        <v>239</v>
      </c>
      <c r="B280" s="239"/>
      <c r="C280" s="238" t="s">
        <v>219</v>
      </c>
      <c r="D280" s="238" t="s">
        <v>230</v>
      </c>
      <c r="E280" s="239"/>
      <c r="F280" s="238" t="s">
        <v>240</v>
      </c>
      <c r="G280" s="624" t="s">
        <v>241</v>
      </c>
      <c r="H280" s="624"/>
      <c r="I280" s="621"/>
    </row>
    <row r="281" spans="1:9" ht="24.95" customHeight="1">
      <c r="A281" s="245"/>
      <c r="B281" s="239"/>
      <c r="C281" s="624" t="s">
        <v>242</v>
      </c>
      <c r="D281" s="624"/>
      <c r="E281" s="624"/>
      <c r="F281" s="624"/>
      <c r="G281" s="624"/>
      <c r="H281" s="239"/>
      <c r="I281" s="262"/>
    </row>
    <row r="282" spans="1:9" ht="15.75" customHeight="1">
      <c r="A282" s="237" t="s">
        <v>243</v>
      </c>
      <c r="B282" s="239"/>
      <c r="C282" s="238" t="s">
        <v>219</v>
      </c>
      <c r="D282" s="238" t="s">
        <v>230</v>
      </c>
      <c r="E282" s="239"/>
      <c r="F282" s="238" t="s">
        <v>241</v>
      </c>
      <c r="G282" s="624" t="s">
        <v>241</v>
      </c>
      <c r="H282" s="624"/>
      <c r="I282" s="621"/>
    </row>
    <row r="283" spans="1:9" ht="24.95" customHeight="1">
      <c r="A283" s="245"/>
      <c r="B283" s="239"/>
      <c r="C283" s="624" t="s">
        <v>244</v>
      </c>
      <c r="D283" s="624"/>
      <c r="E283" s="624"/>
      <c r="F283" s="624"/>
      <c r="G283" s="624"/>
      <c r="H283" s="239"/>
      <c r="I283" s="262"/>
    </row>
    <row r="284" spans="1:9" ht="15.75" customHeight="1">
      <c r="A284" s="245"/>
      <c r="B284" s="239"/>
      <c r="C284" s="239"/>
      <c r="D284" s="239"/>
      <c r="E284" s="239"/>
      <c r="F284" s="239"/>
      <c r="G284" s="246" t="s">
        <v>245</v>
      </c>
      <c r="H284" s="239"/>
      <c r="I284" s="264">
        <f>SUM(I277,I278)</f>
        <v>0.69330000000000003</v>
      </c>
    </row>
    <row r="285" spans="1:9" ht="15.75" customHeight="1">
      <c r="A285" s="237" t="s">
        <v>246</v>
      </c>
      <c r="B285" s="239"/>
      <c r="C285" s="238" t="s">
        <v>201</v>
      </c>
      <c r="D285" s="238" t="s">
        <v>219</v>
      </c>
      <c r="E285" s="238" t="s">
        <v>230</v>
      </c>
      <c r="F285" s="239"/>
      <c r="G285" s="238" t="s">
        <v>241</v>
      </c>
      <c r="H285" s="624" t="s">
        <v>241</v>
      </c>
      <c r="I285" s="621"/>
    </row>
    <row r="286" spans="1:9" ht="24.95" customHeight="1">
      <c r="A286" s="245"/>
      <c r="B286" s="239"/>
      <c r="C286" s="624" t="s">
        <v>248</v>
      </c>
      <c r="D286" s="624"/>
      <c r="E286" s="624"/>
      <c r="F286" s="624"/>
      <c r="G286" s="624"/>
      <c r="H286" s="239"/>
      <c r="I286" s="264"/>
    </row>
    <row r="287" spans="1:9" ht="15.75" customHeight="1">
      <c r="A287" s="616" t="s">
        <v>249</v>
      </c>
      <c r="B287" s="617"/>
      <c r="C287" s="622" t="s">
        <v>219</v>
      </c>
      <c r="D287" s="622" t="s">
        <v>230</v>
      </c>
      <c r="E287" s="622" t="s">
        <v>250</v>
      </c>
      <c r="F287" s="622"/>
      <c r="G287" s="622"/>
      <c r="H287" s="233"/>
      <c r="I287" s="621" t="s">
        <v>241</v>
      </c>
    </row>
    <row r="288" spans="1:9" ht="15.75" customHeight="1">
      <c r="A288" s="616"/>
      <c r="B288" s="617"/>
      <c r="C288" s="622"/>
      <c r="D288" s="622"/>
      <c r="E288" s="238" t="s">
        <v>251</v>
      </c>
      <c r="F288" s="238" t="s">
        <v>252</v>
      </c>
      <c r="G288" s="238" t="s">
        <v>253</v>
      </c>
      <c r="H288" s="239"/>
      <c r="I288" s="621"/>
    </row>
    <row r="289" spans="1:9" ht="24.95" customHeight="1">
      <c r="A289" s="253"/>
      <c r="B289" s="233"/>
      <c r="C289" s="625" t="s">
        <v>259</v>
      </c>
      <c r="D289" s="625"/>
      <c r="E289" s="625"/>
      <c r="F289" s="625"/>
      <c r="G289" s="625"/>
      <c r="H289" s="233"/>
      <c r="I289" s="267"/>
    </row>
    <row r="290" spans="1:9" ht="15.75" customHeight="1">
      <c r="A290" s="245"/>
      <c r="B290" s="239"/>
      <c r="C290" s="239"/>
      <c r="D290" s="239"/>
      <c r="E290" s="624" t="s">
        <v>260</v>
      </c>
      <c r="F290" s="624"/>
      <c r="G290" s="624"/>
      <c r="H290" s="239"/>
      <c r="I290" s="269">
        <f>ROUND(I284,2)</f>
        <v>0.69</v>
      </c>
    </row>
    <row r="292" spans="1:9" ht="23.25" customHeight="1">
      <c r="A292" s="225" t="s">
        <v>210</v>
      </c>
      <c r="B292" s="226"/>
      <c r="C292" s="226"/>
      <c r="D292" s="226"/>
      <c r="E292" s="226"/>
      <c r="F292" s="226"/>
      <c r="G292" s="226"/>
      <c r="H292" s="226"/>
      <c r="I292" s="256" t="s">
        <v>211</v>
      </c>
    </row>
    <row r="293" spans="1:9" ht="18.75" customHeight="1">
      <c r="A293" s="227" t="s">
        <v>212</v>
      </c>
      <c r="B293" s="228"/>
      <c r="C293" s="228"/>
      <c r="D293" s="229" t="s">
        <v>213</v>
      </c>
      <c r="E293" s="228"/>
      <c r="F293" s="228"/>
      <c r="G293" s="230" t="s">
        <v>261</v>
      </c>
      <c r="H293" s="231">
        <v>0</v>
      </c>
      <c r="I293" s="257"/>
    </row>
    <row r="294" spans="1:9" ht="15.75" customHeight="1">
      <c r="A294" s="232" t="s">
        <v>214</v>
      </c>
      <c r="B294" s="233"/>
      <c r="C294" s="233"/>
      <c r="D294" s="183">
        <v>45383</v>
      </c>
      <c r="E294" s="233"/>
      <c r="F294" s="233"/>
      <c r="G294" s="234" t="s">
        <v>215</v>
      </c>
      <c r="H294" s="235">
        <v>731.74</v>
      </c>
      <c r="I294" s="258" t="s">
        <v>255</v>
      </c>
    </row>
    <row r="295" spans="1:9" ht="30" customHeight="1">
      <c r="A295" s="236" t="s">
        <v>283</v>
      </c>
      <c r="B295" s="626" t="s">
        <v>284</v>
      </c>
      <c r="C295" s="626"/>
      <c r="D295" s="626"/>
      <c r="E295" s="626"/>
      <c r="F295" s="626"/>
      <c r="G295" s="626"/>
      <c r="H295" s="627" t="s">
        <v>217</v>
      </c>
      <c r="I295" s="628"/>
    </row>
    <row r="296" spans="1:9" ht="15.75" customHeight="1">
      <c r="A296" s="616" t="s">
        <v>218</v>
      </c>
      <c r="B296" s="617"/>
      <c r="C296" s="622" t="s">
        <v>219</v>
      </c>
      <c r="D296" s="622" t="s">
        <v>220</v>
      </c>
      <c r="E296" s="622"/>
      <c r="F296" s="622" t="s">
        <v>221</v>
      </c>
      <c r="G296" s="622"/>
      <c r="H296" s="233"/>
      <c r="I296" s="259" t="s">
        <v>222</v>
      </c>
    </row>
    <row r="297" spans="1:9" ht="15.75" customHeight="1">
      <c r="A297" s="616"/>
      <c r="B297" s="617"/>
      <c r="C297" s="622"/>
      <c r="D297" s="238" t="s">
        <v>223</v>
      </c>
      <c r="E297" s="238" t="s">
        <v>224</v>
      </c>
      <c r="F297" s="238" t="s">
        <v>225</v>
      </c>
      <c r="G297" s="238" t="s">
        <v>226</v>
      </c>
      <c r="H297" s="239"/>
      <c r="I297" s="260" t="s">
        <v>227</v>
      </c>
    </row>
    <row r="298" spans="1:9">
      <c r="A298" s="240" t="str">
        <f>'Preços Insumos e Serviços'!D11</f>
        <v>E9666</v>
      </c>
      <c r="B298" s="241" t="str">
        <f>'Preços Insumos e Serviços'!B11</f>
        <v>Cavalo mecânico com semirreboque com capacidade de 30 t - 265 kW</v>
      </c>
      <c r="C298" s="242">
        <v>1</v>
      </c>
      <c r="D298" s="243">
        <v>1</v>
      </c>
      <c r="E298" s="243">
        <v>0</v>
      </c>
      <c r="F298" s="244">
        <f>'Preços Insumos e Serviços'!F11</f>
        <v>416.79379999999998</v>
      </c>
      <c r="G298" s="244">
        <f>'Preços Insumos e Serviços'!G11</f>
        <v>132.61709999999999</v>
      </c>
      <c r="H298" s="233"/>
      <c r="I298" s="261">
        <f>(((D298*F298)+(E298*G298))*C298)</f>
        <v>416.79379999999998</v>
      </c>
    </row>
    <row r="299" spans="1:9" ht="15.75" customHeight="1">
      <c r="A299" s="245"/>
      <c r="B299" s="239"/>
      <c r="C299" s="239"/>
      <c r="D299" s="239"/>
      <c r="E299" s="239"/>
      <c r="F299" s="239"/>
      <c r="G299" s="246" t="s">
        <v>228</v>
      </c>
      <c r="H299" s="239"/>
      <c r="I299" s="262">
        <f>SUM(I298,4)</f>
        <v>420.79379999999998</v>
      </c>
    </row>
    <row r="300" spans="1:9" ht="15.75" customHeight="1">
      <c r="A300" s="237" t="s">
        <v>229</v>
      </c>
      <c r="B300" s="239"/>
      <c r="C300" s="238" t="s">
        <v>219</v>
      </c>
      <c r="D300" s="238" t="s">
        <v>230</v>
      </c>
      <c r="E300" s="239"/>
      <c r="F300" s="238" t="s">
        <v>221</v>
      </c>
      <c r="G300" s="624" t="s">
        <v>231</v>
      </c>
      <c r="H300" s="624"/>
      <c r="I300" s="621"/>
    </row>
    <row r="301" spans="1:9" ht="24.95" customHeight="1">
      <c r="A301" s="253"/>
      <c r="B301" s="233"/>
      <c r="C301" s="625" t="s">
        <v>233</v>
      </c>
      <c r="D301" s="625"/>
      <c r="E301" s="625"/>
      <c r="F301" s="625"/>
      <c r="G301" s="625"/>
      <c r="H301" s="233"/>
      <c r="I301" s="261"/>
    </row>
    <row r="302" spans="1:9" ht="15.75" customHeight="1">
      <c r="A302" s="245"/>
      <c r="B302" s="239"/>
      <c r="C302" s="624" t="s">
        <v>234</v>
      </c>
      <c r="D302" s="624"/>
      <c r="E302" s="624"/>
      <c r="F302" s="624"/>
      <c r="G302" s="624"/>
      <c r="H302" s="239"/>
      <c r="I302" s="264">
        <f>I299</f>
        <v>420.79379999999998</v>
      </c>
    </row>
    <row r="303" spans="1:9" ht="15.75" customHeight="1">
      <c r="A303" s="253"/>
      <c r="B303" s="233"/>
      <c r="C303" s="625" t="s">
        <v>235</v>
      </c>
      <c r="D303" s="625"/>
      <c r="E303" s="625"/>
      <c r="F303" s="625"/>
      <c r="G303" s="625"/>
      <c r="H303" s="233"/>
      <c r="I303" s="265">
        <f>I302/H294</f>
        <v>0.57505917402355999</v>
      </c>
    </row>
    <row r="304" spans="1:9" ht="15.75" customHeight="1">
      <c r="A304" s="253"/>
      <c r="B304" s="233"/>
      <c r="C304" s="233"/>
      <c r="D304" s="233"/>
      <c r="E304" s="233"/>
      <c r="F304" s="233"/>
      <c r="G304" s="254" t="s">
        <v>236</v>
      </c>
      <c r="H304" s="233"/>
      <c r="I304" s="266">
        <f>ROUNDUP(I303*H293,4)</f>
        <v>0</v>
      </c>
    </row>
    <row r="305" spans="1:9" ht="15.75" customHeight="1">
      <c r="A305" s="245"/>
      <c r="B305" s="239"/>
      <c r="C305" s="239"/>
      <c r="D305" s="239"/>
      <c r="E305" s="239"/>
      <c r="F305" s="239"/>
      <c r="G305" s="246" t="s">
        <v>238</v>
      </c>
      <c r="H305" s="239"/>
      <c r="I305" s="264" t="s">
        <v>237</v>
      </c>
    </row>
    <row r="306" spans="1:9" ht="15.75" customHeight="1">
      <c r="A306" s="237" t="s">
        <v>239</v>
      </c>
      <c r="B306" s="239"/>
      <c r="C306" s="238" t="s">
        <v>219</v>
      </c>
      <c r="D306" s="238" t="s">
        <v>230</v>
      </c>
      <c r="E306" s="239"/>
      <c r="F306" s="238" t="s">
        <v>240</v>
      </c>
      <c r="G306" s="624" t="s">
        <v>241</v>
      </c>
      <c r="H306" s="624"/>
      <c r="I306" s="621"/>
    </row>
    <row r="307" spans="1:9" ht="24.95" customHeight="1">
      <c r="A307" s="245"/>
      <c r="B307" s="239"/>
      <c r="C307" s="624" t="s">
        <v>242</v>
      </c>
      <c r="D307" s="624"/>
      <c r="E307" s="624"/>
      <c r="F307" s="624"/>
      <c r="G307" s="624"/>
      <c r="H307" s="239"/>
      <c r="I307" s="262"/>
    </row>
    <row r="308" spans="1:9" ht="15.75" customHeight="1">
      <c r="A308" s="237" t="s">
        <v>243</v>
      </c>
      <c r="B308" s="239"/>
      <c r="C308" s="238" t="s">
        <v>219</v>
      </c>
      <c r="D308" s="238" t="s">
        <v>230</v>
      </c>
      <c r="E308" s="239"/>
      <c r="F308" s="238" t="s">
        <v>241</v>
      </c>
      <c r="G308" s="624" t="s">
        <v>241</v>
      </c>
      <c r="H308" s="624"/>
      <c r="I308" s="621"/>
    </row>
    <row r="309" spans="1:9" ht="24.95" customHeight="1">
      <c r="A309" s="245"/>
      <c r="B309" s="239"/>
      <c r="C309" s="624" t="s">
        <v>244</v>
      </c>
      <c r="D309" s="624"/>
      <c r="E309" s="624"/>
      <c r="F309" s="624"/>
      <c r="G309" s="624"/>
      <c r="H309" s="239"/>
      <c r="I309" s="262"/>
    </row>
    <row r="310" spans="1:9" ht="15.75" customHeight="1">
      <c r="A310" s="245"/>
      <c r="B310" s="239"/>
      <c r="C310" s="239"/>
      <c r="D310" s="239"/>
      <c r="E310" s="239"/>
      <c r="F310" s="239"/>
      <c r="G310" s="246" t="s">
        <v>245</v>
      </c>
      <c r="H310" s="239"/>
      <c r="I310" s="264">
        <f>SUM(I303,I304)</f>
        <v>0.57505917402355999</v>
      </c>
    </row>
    <row r="311" spans="1:9" ht="15.75" customHeight="1">
      <c r="A311" s="237" t="s">
        <v>246</v>
      </c>
      <c r="B311" s="239"/>
      <c r="C311" s="238" t="s">
        <v>201</v>
      </c>
      <c r="D311" s="238" t="s">
        <v>219</v>
      </c>
      <c r="E311" s="238" t="s">
        <v>230</v>
      </c>
      <c r="F311" s="239"/>
      <c r="G311" s="238" t="s">
        <v>241</v>
      </c>
      <c r="H311" s="624" t="s">
        <v>241</v>
      </c>
      <c r="I311" s="621"/>
    </row>
    <row r="312" spans="1:9" ht="24.95" customHeight="1">
      <c r="A312" s="245"/>
      <c r="B312" s="239"/>
      <c r="C312" s="624" t="s">
        <v>248</v>
      </c>
      <c r="D312" s="624"/>
      <c r="E312" s="624"/>
      <c r="F312" s="624"/>
      <c r="G312" s="624"/>
      <c r="H312" s="239"/>
      <c r="I312" s="264"/>
    </row>
    <row r="313" spans="1:9" ht="15.75" customHeight="1">
      <c r="A313" s="616" t="s">
        <v>249</v>
      </c>
      <c r="B313" s="617"/>
      <c r="C313" s="622" t="s">
        <v>219</v>
      </c>
      <c r="D313" s="622" t="s">
        <v>230</v>
      </c>
      <c r="E313" s="622" t="s">
        <v>250</v>
      </c>
      <c r="F313" s="622"/>
      <c r="G313" s="622"/>
      <c r="H313" s="233"/>
      <c r="I313" s="621" t="s">
        <v>241</v>
      </c>
    </row>
    <row r="314" spans="1:9" ht="15.75" customHeight="1">
      <c r="A314" s="616"/>
      <c r="B314" s="617"/>
      <c r="C314" s="622"/>
      <c r="D314" s="622"/>
      <c r="E314" s="238" t="s">
        <v>251</v>
      </c>
      <c r="F314" s="238" t="s">
        <v>252</v>
      </c>
      <c r="G314" s="238" t="s">
        <v>253</v>
      </c>
      <c r="H314" s="239"/>
      <c r="I314" s="621"/>
    </row>
    <row r="315" spans="1:9" ht="24.95" customHeight="1">
      <c r="A315" s="253"/>
      <c r="B315" s="233"/>
      <c r="C315" s="625" t="s">
        <v>259</v>
      </c>
      <c r="D315" s="625"/>
      <c r="E315" s="625"/>
      <c r="F315" s="625"/>
      <c r="G315" s="625"/>
      <c r="H315" s="233"/>
      <c r="I315" s="267"/>
    </row>
    <row r="316" spans="1:9" ht="15.75" customHeight="1">
      <c r="A316" s="245"/>
      <c r="B316" s="239"/>
      <c r="C316" s="239"/>
      <c r="D316" s="239"/>
      <c r="E316" s="624" t="s">
        <v>260</v>
      </c>
      <c r="F316" s="624"/>
      <c r="G316" s="624"/>
      <c r="H316" s="239"/>
      <c r="I316" s="269">
        <f>ROUND(I310,2)</f>
        <v>0.57999999999999996</v>
      </c>
    </row>
    <row r="318" spans="1:9" ht="23.25" customHeight="1">
      <c r="A318" s="225" t="s">
        <v>210</v>
      </c>
      <c r="B318" s="226"/>
      <c r="C318" s="226"/>
      <c r="D318" s="226"/>
      <c r="E318" s="226"/>
      <c r="F318" s="226"/>
      <c r="G318" s="226"/>
      <c r="H318" s="226"/>
      <c r="I318" s="256" t="s">
        <v>211</v>
      </c>
    </row>
    <row r="319" spans="1:9" ht="18.75" customHeight="1">
      <c r="A319" s="227" t="s">
        <v>212</v>
      </c>
      <c r="B319" s="228"/>
      <c r="C319" s="228"/>
      <c r="D319" s="229" t="s">
        <v>213</v>
      </c>
      <c r="E319" s="228"/>
      <c r="F319" s="228"/>
      <c r="G319" s="230" t="s">
        <v>261</v>
      </c>
      <c r="H319" s="231">
        <v>1.4250000000000001E-2</v>
      </c>
      <c r="I319" s="257"/>
    </row>
    <row r="320" spans="1:9" ht="15.75" customHeight="1">
      <c r="A320" s="232" t="s">
        <v>214</v>
      </c>
      <c r="B320" s="233"/>
      <c r="C320" s="233"/>
      <c r="D320" s="183">
        <v>45383</v>
      </c>
      <c r="E320" s="233"/>
      <c r="F320" s="233"/>
      <c r="G320" s="234" t="s">
        <v>215</v>
      </c>
      <c r="H320" s="235">
        <v>1121.33</v>
      </c>
      <c r="I320" s="258" t="s">
        <v>69</v>
      </c>
    </row>
    <row r="321" spans="1:9" ht="51" customHeight="1">
      <c r="A321" s="236" t="s">
        <v>285</v>
      </c>
      <c r="B321" s="626" t="s">
        <v>286</v>
      </c>
      <c r="C321" s="626"/>
      <c r="D321" s="626"/>
      <c r="E321" s="626"/>
      <c r="F321" s="626"/>
      <c r="G321" s="626"/>
      <c r="H321" s="627" t="s">
        <v>217</v>
      </c>
      <c r="I321" s="628"/>
    </row>
    <row r="322" spans="1:9" ht="15.75" customHeight="1">
      <c r="A322" s="616" t="s">
        <v>218</v>
      </c>
      <c r="B322" s="617"/>
      <c r="C322" s="622" t="s">
        <v>219</v>
      </c>
      <c r="D322" s="622" t="s">
        <v>220</v>
      </c>
      <c r="E322" s="622"/>
      <c r="F322" s="622" t="s">
        <v>221</v>
      </c>
      <c r="G322" s="622"/>
      <c r="H322" s="233"/>
      <c r="I322" s="259" t="s">
        <v>222</v>
      </c>
    </row>
    <row r="323" spans="1:9" ht="15.75" customHeight="1">
      <c r="A323" s="616"/>
      <c r="B323" s="617"/>
      <c r="C323" s="622"/>
      <c r="D323" s="238" t="s">
        <v>223</v>
      </c>
      <c r="E323" s="238" t="s">
        <v>224</v>
      </c>
      <c r="F323" s="238" t="s">
        <v>225</v>
      </c>
      <c r="G323" s="238" t="s">
        <v>226</v>
      </c>
      <c r="H323" s="239"/>
      <c r="I323" s="260" t="s">
        <v>227</v>
      </c>
    </row>
    <row r="324" spans="1:9">
      <c r="A324" s="240" t="str">
        <f>'Preços Insumos e Serviços'!D10</f>
        <v>E9571</v>
      </c>
      <c r="B324" s="241" t="str">
        <f>'Preços Insumos e Serviços'!B10</f>
        <v>Caminhão tanque com capacidade de 10.000 l - 188 kW</v>
      </c>
      <c r="C324" s="242">
        <v>2</v>
      </c>
      <c r="D324" s="243">
        <v>0.51</v>
      </c>
      <c r="E324" s="243">
        <v>0.49</v>
      </c>
      <c r="F324" s="244">
        <f>'Preços Insumos e Serviços'!F10</f>
        <v>323.59980000000002</v>
      </c>
      <c r="G324" s="244">
        <f>'Preços Insumos e Serviços'!G10</f>
        <v>85.142399999999995</v>
      </c>
      <c r="H324" s="233"/>
      <c r="I324" s="261">
        <f t="shared" ref="I324:I329" si="1">(((D324*F324)+(E324*G324))*C324)</f>
        <v>413.511348</v>
      </c>
    </row>
    <row r="325" spans="1:9">
      <c r="A325" s="240" t="str">
        <f>'Preços Insumos e Serviços'!D20</f>
        <v>E9518</v>
      </c>
      <c r="B325" s="241" t="str">
        <f>'Preços Insumos e Serviços'!B20</f>
        <v>Grade de 24 discos rebocável de D = 60 cm (24")</v>
      </c>
      <c r="C325" s="242">
        <v>1</v>
      </c>
      <c r="D325" s="243">
        <v>0.69</v>
      </c>
      <c r="E325" s="243">
        <v>0.31</v>
      </c>
      <c r="F325" s="244">
        <f>'Preços Insumos e Serviços'!F20</f>
        <v>5.0206999999999997</v>
      </c>
      <c r="G325" s="244">
        <f>'Preços Insumos e Serviços'!G20</f>
        <v>3.4963000000000002</v>
      </c>
      <c r="H325" s="233"/>
      <c r="I325" s="261">
        <f t="shared" si="1"/>
        <v>4.5481360000000004</v>
      </c>
    </row>
    <row r="326" spans="1:9">
      <c r="A326" s="240" t="str">
        <f>'Preços Insumos e Serviços'!D22</f>
        <v>E9524</v>
      </c>
      <c r="B326" s="241" t="str">
        <f>'Preços Insumos e Serviços'!B22</f>
        <v>Motoniveladora - 93 kW</v>
      </c>
      <c r="C326" s="242">
        <v>1</v>
      </c>
      <c r="D326" s="243">
        <v>0.71</v>
      </c>
      <c r="E326" s="243">
        <v>0.28999999999999998</v>
      </c>
      <c r="F326" s="244">
        <f>'Preços Insumos e Serviços'!F22</f>
        <v>292.96100000000001</v>
      </c>
      <c r="G326" s="244">
        <f>'Preços Insumos e Serviços'!G22</f>
        <v>131.59530000000001</v>
      </c>
      <c r="H326" s="233"/>
      <c r="I326" s="261">
        <f t="shared" si="1"/>
        <v>246.16494700000001</v>
      </c>
    </row>
    <row r="327" spans="1:9">
      <c r="A327" s="240" t="str">
        <f>'Preços Insumos e Serviços'!D27</f>
        <v>E9762</v>
      </c>
      <c r="B327" s="241" t="str">
        <f>'Preços Insumos e Serviços'!B27</f>
        <v>Rolo compactador de pneus autopropelido de 27 t - 85 kW</v>
      </c>
      <c r="C327" s="242">
        <v>1</v>
      </c>
      <c r="D327" s="243">
        <v>0.96</v>
      </c>
      <c r="E327" s="243">
        <v>0.04</v>
      </c>
      <c r="F327" s="244">
        <f>'Preços Insumos e Serviços'!F27</f>
        <v>261.44779999999997</v>
      </c>
      <c r="G327" s="244">
        <f>'Preços Insumos e Serviços'!G27</f>
        <v>130.97460000000001</v>
      </c>
      <c r="H327" s="233"/>
      <c r="I327" s="261">
        <f t="shared" si="1"/>
        <v>256.22887200000002</v>
      </c>
    </row>
    <row r="328" spans="1:9" ht="28.5">
      <c r="A328" s="240" t="str">
        <f>'Preços Insumos e Serviços'!D28</f>
        <v>E9685</v>
      </c>
      <c r="B328" s="241" t="str">
        <f>'Preços Insumos e Serviços'!B28</f>
        <v>Rolo compactador pé de carneiro vibratório autopropelido por pneus de 11,6 t - 82 kW</v>
      </c>
      <c r="C328" s="242">
        <v>1</v>
      </c>
      <c r="D328" s="243">
        <v>1</v>
      </c>
      <c r="E328" s="243">
        <v>0</v>
      </c>
      <c r="F328" s="244">
        <f>'Preços Insumos e Serviços'!F28</f>
        <v>225.6386</v>
      </c>
      <c r="G328" s="244">
        <f>'Preços Insumos e Serviços'!G28</f>
        <v>104.73560000000001</v>
      </c>
      <c r="H328" s="233"/>
      <c r="I328" s="261">
        <f t="shared" si="1"/>
        <v>225.6386</v>
      </c>
    </row>
    <row r="329" spans="1:9">
      <c r="A329" s="240" t="str">
        <f>'Preços Insumos e Serviços'!D31</f>
        <v>E9577</v>
      </c>
      <c r="B329" s="241" t="str">
        <f>'Preços Insumos e Serviços'!B31</f>
        <v>Trator agrícola sobre pneus - 77 kW</v>
      </c>
      <c r="C329" s="242">
        <v>1</v>
      </c>
      <c r="D329" s="243">
        <v>0.69</v>
      </c>
      <c r="E329" s="243">
        <v>0.31</v>
      </c>
      <c r="F329" s="244">
        <f>'Preços Insumos e Serviços'!F31</f>
        <v>157.58260000000001</v>
      </c>
      <c r="G329" s="244">
        <f>'Preços Insumos e Serviços'!G31</f>
        <v>62.240499999999997</v>
      </c>
      <c r="H329" s="233"/>
      <c r="I329" s="261">
        <f t="shared" si="1"/>
        <v>128.02654899999999</v>
      </c>
    </row>
    <row r="330" spans="1:9" ht="15.75" customHeight="1">
      <c r="A330" s="245"/>
      <c r="B330" s="239"/>
      <c r="C330" s="239"/>
      <c r="D330" s="239"/>
      <c r="E330" s="239"/>
      <c r="F330" s="239"/>
      <c r="G330" s="246" t="s">
        <v>228</v>
      </c>
      <c r="H330" s="239"/>
      <c r="I330" s="262">
        <f>ROUNDDOWN(I324+I325+I326+I327+I328+I329,4)</f>
        <v>1274.1184000000001</v>
      </c>
    </row>
    <row r="331" spans="1:9" ht="15.75" customHeight="1">
      <c r="A331" s="237" t="s">
        <v>229</v>
      </c>
      <c r="B331" s="239"/>
      <c r="C331" s="238" t="s">
        <v>219</v>
      </c>
      <c r="D331" s="238" t="s">
        <v>230</v>
      </c>
      <c r="E331" s="239"/>
      <c r="F331" s="238" t="s">
        <v>221</v>
      </c>
      <c r="G331" s="624" t="s">
        <v>231</v>
      </c>
      <c r="H331" s="624"/>
      <c r="I331" s="621"/>
    </row>
    <row r="332" spans="1:9">
      <c r="A332" s="247">
        <f>'Preços Insumos e Serviços'!D55</f>
        <v>88316</v>
      </c>
      <c r="B332" s="248" t="str">
        <f>'Preços Insumos e Serviços'!B55</f>
        <v>SERVENTE COM ENCARGOS COMPLEMENTARES</v>
      </c>
      <c r="C332" s="249">
        <v>1</v>
      </c>
      <c r="D332" s="250" t="s">
        <v>232</v>
      </c>
      <c r="E332" s="251"/>
      <c r="F332" s="252">
        <f>'Preços Insumos e Serviços'!F55</f>
        <v>23.23</v>
      </c>
      <c r="G332" s="251"/>
      <c r="H332" s="251"/>
      <c r="I332" s="263">
        <f>C332*F332</f>
        <v>23.23</v>
      </c>
    </row>
    <row r="333" spans="1:9" ht="15.75" customHeight="1">
      <c r="A333" s="253"/>
      <c r="B333" s="233"/>
      <c r="C333" s="625" t="s">
        <v>233</v>
      </c>
      <c r="D333" s="625"/>
      <c r="E333" s="625"/>
      <c r="F333" s="625"/>
      <c r="G333" s="625"/>
      <c r="H333" s="233"/>
      <c r="I333" s="261">
        <f>SUM(I332)</f>
        <v>23.23</v>
      </c>
    </row>
    <row r="334" spans="1:9" ht="15.75" customHeight="1">
      <c r="A334" s="245"/>
      <c r="B334" s="239"/>
      <c r="C334" s="624" t="s">
        <v>234</v>
      </c>
      <c r="D334" s="624"/>
      <c r="E334" s="624"/>
      <c r="F334" s="624"/>
      <c r="G334" s="624"/>
      <c r="H334" s="239"/>
      <c r="I334" s="264">
        <f>SUM(I330,I333)</f>
        <v>1297.3484000000001</v>
      </c>
    </row>
    <row r="335" spans="1:9" ht="15.75" customHeight="1">
      <c r="A335" s="253"/>
      <c r="B335" s="233"/>
      <c r="C335" s="625" t="s">
        <v>235</v>
      </c>
      <c r="D335" s="625"/>
      <c r="E335" s="625"/>
      <c r="F335" s="625"/>
      <c r="G335" s="625"/>
      <c r="H335" s="233"/>
      <c r="I335" s="265">
        <f>I334/H320</f>
        <v>1.15697288041879</v>
      </c>
    </row>
    <row r="336" spans="1:9" ht="15.75" customHeight="1">
      <c r="A336" s="253"/>
      <c r="B336" s="233"/>
      <c r="C336" s="233"/>
      <c r="D336" s="233"/>
      <c r="E336" s="233"/>
      <c r="F336" s="233"/>
      <c r="G336" s="254" t="s">
        <v>236</v>
      </c>
      <c r="H336" s="233"/>
      <c r="I336" s="266">
        <f>ROUNDDOWN(I335*H319,4)</f>
        <v>1.6400000000000001E-2</v>
      </c>
    </row>
    <row r="337" spans="1:9" ht="15.75" customHeight="1">
      <c r="A337" s="245"/>
      <c r="B337" s="239"/>
      <c r="C337" s="239"/>
      <c r="D337" s="239"/>
      <c r="E337" s="239"/>
      <c r="F337" s="239"/>
      <c r="G337" s="246" t="s">
        <v>238</v>
      </c>
      <c r="H337" s="239"/>
      <c r="I337" s="264" t="s">
        <v>237</v>
      </c>
    </row>
    <row r="338" spans="1:9" ht="15.75" customHeight="1">
      <c r="A338" s="237" t="s">
        <v>239</v>
      </c>
      <c r="B338" s="239"/>
      <c r="C338" s="238" t="s">
        <v>219</v>
      </c>
      <c r="D338" s="238" t="s">
        <v>230</v>
      </c>
      <c r="E338" s="239"/>
      <c r="F338" s="238" t="s">
        <v>240</v>
      </c>
      <c r="G338" s="624" t="s">
        <v>241</v>
      </c>
      <c r="H338" s="624"/>
      <c r="I338" s="621"/>
    </row>
    <row r="339" spans="1:9" ht="24.95" customHeight="1">
      <c r="A339" s="245"/>
      <c r="B339" s="239"/>
      <c r="C339" s="624" t="s">
        <v>242</v>
      </c>
      <c r="D339" s="624"/>
      <c r="E339" s="624"/>
      <c r="F339" s="624"/>
      <c r="G339" s="624"/>
      <c r="H339" s="239"/>
      <c r="I339" s="262"/>
    </row>
    <row r="340" spans="1:9" ht="15.75" customHeight="1">
      <c r="A340" s="237" t="s">
        <v>243</v>
      </c>
      <c r="B340" s="239"/>
      <c r="C340" s="238" t="s">
        <v>219</v>
      </c>
      <c r="D340" s="238" t="s">
        <v>230</v>
      </c>
      <c r="E340" s="239"/>
      <c r="F340" s="238" t="s">
        <v>241</v>
      </c>
      <c r="G340" s="624" t="s">
        <v>241</v>
      </c>
      <c r="H340" s="624"/>
      <c r="I340" s="621"/>
    </row>
    <row r="341" spans="1:9" ht="24.95" customHeight="1">
      <c r="A341" s="245"/>
      <c r="B341" s="239"/>
      <c r="C341" s="624" t="s">
        <v>244</v>
      </c>
      <c r="D341" s="624"/>
      <c r="E341" s="624"/>
      <c r="F341" s="624"/>
      <c r="G341" s="624"/>
      <c r="H341" s="239"/>
      <c r="I341" s="262"/>
    </row>
    <row r="342" spans="1:9" ht="15.75" customHeight="1">
      <c r="A342" s="245"/>
      <c r="B342" s="239"/>
      <c r="C342" s="239"/>
      <c r="D342" s="239"/>
      <c r="E342" s="239"/>
      <c r="F342" s="239"/>
      <c r="G342" s="246" t="s">
        <v>245</v>
      </c>
      <c r="H342" s="239"/>
      <c r="I342" s="264">
        <f>SUM(I335:I336)</f>
        <v>1.17337288041879</v>
      </c>
    </row>
    <row r="343" spans="1:9" ht="15.75" customHeight="1">
      <c r="A343" s="237" t="s">
        <v>246</v>
      </c>
      <c r="B343" s="239"/>
      <c r="C343" s="238" t="s">
        <v>201</v>
      </c>
      <c r="D343" s="238" t="s">
        <v>219</v>
      </c>
      <c r="E343" s="238" t="s">
        <v>230</v>
      </c>
      <c r="F343" s="239"/>
      <c r="G343" s="238" t="s">
        <v>241</v>
      </c>
      <c r="H343" s="624" t="s">
        <v>241</v>
      </c>
      <c r="I343" s="621"/>
    </row>
    <row r="344" spans="1:9" ht="24.95" customHeight="1">
      <c r="A344" s="245"/>
      <c r="B344" s="239"/>
      <c r="C344" s="624" t="s">
        <v>248</v>
      </c>
      <c r="D344" s="624"/>
      <c r="E344" s="624"/>
      <c r="F344" s="624"/>
      <c r="G344" s="624"/>
      <c r="H344" s="239"/>
      <c r="I344" s="264"/>
    </row>
    <row r="345" spans="1:9" ht="15.75" customHeight="1">
      <c r="A345" s="616" t="s">
        <v>249</v>
      </c>
      <c r="B345" s="617"/>
      <c r="C345" s="622" t="s">
        <v>219</v>
      </c>
      <c r="D345" s="622" t="s">
        <v>230</v>
      </c>
      <c r="E345" s="622" t="s">
        <v>250</v>
      </c>
      <c r="F345" s="622"/>
      <c r="G345" s="622"/>
      <c r="H345" s="233"/>
      <c r="I345" s="621" t="s">
        <v>241</v>
      </c>
    </row>
    <row r="346" spans="1:9" ht="15.75" customHeight="1">
      <c r="A346" s="616"/>
      <c r="B346" s="617"/>
      <c r="C346" s="622"/>
      <c r="D346" s="622"/>
      <c r="E346" s="238" t="s">
        <v>251</v>
      </c>
      <c r="F346" s="238" t="s">
        <v>252</v>
      </c>
      <c r="G346" s="238" t="s">
        <v>253</v>
      </c>
      <c r="H346" s="239"/>
      <c r="I346" s="621"/>
    </row>
    <row r="347" spans="1:9" ht="24.95" customHeight="1">
      <c r="A347" s="253"/>
      <c r="B347" s="233"/>
      <c r="C347" s="625" t="s">
        <v>259</v>
      </c>
      <c r="D347" s="625"/>
      <c r="E347" s="625"/>
      <c r="F347" s="625"/>
      <c r="G347" s="625"/>
      <c r="H347" s="233"/>
      <c r="I347" s="267"/>
    </row>
    <row r="348" spans="1:9" ht="15.75" customHeight="1">
      <c r="A348" s="245"/>
      <c r="B348" s="239"/>
      <c r="C348" s="239"/>
      <c r="D348" s="239"/>
      <c r="E348" s="624" t="s">
        <v>260</v>
      </c>
      <c r="F348" s="624"/>
      <c r="G348" s="624"/>
      <c r="H348" s="239"/>
      <c r="I348" s="269">
        <f>ROUND(I342,2)</f>
        <v>1.17</v>
      </c>
    </row>
    <row r="350" spans="1:9" ht="23.25" customHeight="1">
      <c r="A350" s="225" t="s">
        <v>210</v>
      </c>
      <c r="B350" s="226"/>
      <c r="C350" s="226"/>
      <c r="D350" s="226"/>
      <c r="E350" s="226"/>
      <c r="F350" s="226"/>
      <c r="G350" s="226"/>
      <c r="H350" s="226"/>
      <c r="I350" s="256" t="s">
        <v>211</v>
      </c>
    </row>
    <row r="351" spans="1:9" ht="18.75" customHeight="1">
      <c r="A351" s="227" t="s">
        <v>212</v>
      </c>
      <c r="B351" s="228"/>
      <c r="C351" s="228"/>
      <c r="D351" s="229" t="s">
        <v>213</v>
      </c>
      <c r="E351" s="228"/>
      <c r="F351" s="228"/>
      <c r="G351" s="228"/>
      <c r="H351" s="228"/>
      <c r="I351" s="257"/>
    </row>
    <row r="352" spans="1:9" ht="15.75" customHeight="1">
      <c r="A352" s="232" t="s">
        <v>214</v>
      </c>
      <c r="B352" s="233"/>
      <c r="C352" s="233"/>
      <c r="D352" s="183">
        <v>45383</v>
      </c>
      <c r="E352" s="233"/>
      <c r="F352" s="233"/>
      <c r="G352" s="234" t="s">
        <v>215</v>
      </c>
      <c r="H352" s="270">
        <v>3</v>
      </c>
      <c r="I352" s="258" t="s">
        <v>287</v>
      </c>
    </row>
    <row r="353" spans="1:9" ht="56.25" customHeight="1">
      <c r="A353" s="236" t="s">
        <v>288</v>
      </c>
      <c r="B353" s="626" t="s">
        <v>140</v>
      </c>
      <c r="C353" s="626"/>
      <c r="D353" s="626"/>
      <c r="E353" s="626"/>
      <c r="F353" s="626"/>
      <c r="G353" s="626"/>
      <c r="H353" s="627" t="s">
        <v>217</v>
      </c>
      <c r="I353" s="628"/>
    </row>
    <row r="354" spans="1:9" ht="15.75" customHeight="1">
      <c r="A354" s="616" t="s">
        <v>218</v>
      </c>
      <c r="B354" s="617"/>
      <c r="C354" s="622" t="s">
        <v>219</v>
      </c>
      <c r="D354" s="622" t="s">
        <v>220</v>
      </c>
      <c r="E354" s="622"/>
      <c r="F354" s="622" t="s">
        <v>221</v>
      </c>
      <c r="G354" s="622"/>
      <c r="H354" s="233"/>
      <c r="I354" s="259" t="s">
        <v>222</v>
      </c>
    </row>
    <row r="355" spans="1:9" ht="15.75" customHeight="1">
      <c r="A355" s="616"/>
      <c r="B355" s="617"/>
      <c r="C355" s="622"/>
      <c r="D355" s="238" t="s">
        <v>223</v>
      </c>
      <c r="E355" s="238" t="s">
        <v>224</v>
      </c>
      <c r="F355" s="238" t="s">
        <v>225</v>
      </c>
      <c r="G355" s="238" t="s">
        <v>226</v>
      </c>
      <c r="H355" s="239"/>
      <c r="I355" s="260" t="s">
        <v>227</v>
      </c>
    </row>
    <row r="356" spans="1:9">
      <c r="A356" s="240" t="str">
        <f>'Preços Insumos e Serviços'!D8</f>
        <v>E9687</v>
      </c>
      <c r="B356" s="241" t="str">
        <f>'Preços Insumos e Serviços'!B8</f>
        <v>Caminhão carroceria com capacidade de 5 t - 115 Kw</v>
      </c>
      <c r="C356" s="242">
        <v>1</v>
      </c>
      <c r="D356" s="243">
        <v>0.3</v>
      </c>
      <c r="E356" s="243">
        <v>0.7</v>
      </c>
      <c r="F356" s="244">
        <f>'Preços Insumos e Serviços'!F8</f>
        <v>148.93690000000001</v>
      </c>
      <c r="G356" s="244">
        <f>'Preços Insumos e Serviços'!G8</f>
        <v>61.570099999999996</v>
      </c>
      <c r="H356" s="233"/>
      <c r="I356" s="261">
        <f t="shared" ref="I356" si="2">(((D356*F356)+(E356*G356))*C356)</f>
        <v>87.780140000000003</v>
      </c>
    </row>
    <row r="357" spans="1:9" ht="15.75" customHeight="1">
      <c r="A357" s="245"/>
      <c r="B357" s="239"/>
      <c r="C357" s="239"/>
      <c r="D357" s="239"/>
      <c r="E357" s="239"/>
      <c r="F357" s="239"/>
      <c r="G357" s="246" t="s">
        <v>228</v>
      </c>
      <c r="H357" s="239"/>
      <c r="I357" s="262">
        <f>ROUNDUP(I356,4)</f>
        <v>87.780199999999994</v>
      </c>
    </row>
    <row r="358" spans="1:9" ht="15.75" customHeight="1">
      <c r="A358" s="237" t="s">
        <v>229</v>
      </c>
      <c r="B358" s="239"/>
      <c r="C358" s="238" t="s">
        <v>219</v>
      </c>
      <c r="D358" s="238" t="s">
        <v>230</v>
      </c>
      <c r="E358" s="239"/>
      <c r="F358" s="238" t="s">
        <v>221</v>
      </c>
      <c r="G358" s="624" t="s">
        <v>231</v>
      </c>
      <c r="H358" s="624"/>
      <c r="I358" s="621"/>
    </row>
    <row r="359" spans="1:9">
      <c r="A359" s="240" t="str">
        <f>'Preços Insumos e Serviços'!D21</f>
        <v>P9830</v>
      </c>
      <c r="B359" s="241" t="str">
        <f>'Preços Insumos e Serviços'!B21</f>
        <v>Montador</v>
      </c>
      <c r="C359" s="242">
        <v>1</v>
      </c>
      <c r="D359" s="255" t="s">
        <v>232</v>
      </c>
      <c r="E359" s="233"/>
      <c r="F359" s="244">
        <f>'Preços Insumos e Serviços'!F21</f>
        <v>31.211500000000001</v>
      </c>
      <c r="G359" s="233"/>
      <c r="H359" s="233"/>
      <c r="I359" s="261">
        <f>C359*F359</f>
        <v>31.211500000000001</v>
      </c>
    </row>
    <row r="360" spans="1:9">
      <c r="A360" s="247">
        <f>'Preços Insumos e Serviços'!D55</f>
        <v>88316</v>
      </c>
      <c r="B360" s="248" t="str">
        <f>'Preços Insumos e Serviços'!B55</f>
        <v>SERVENTE COM ENCARGOS COMPLEMENTARES</v>
      </c>
      <c r="C360" s="249">
        <v>2</v>
      </c>
      <c r="D360" s="250" t="s">
        <v>232</v>
      </c>
      <c r="E360" s="251"/>
      <c r="F360" s="252">
        <f>'Preços Insumos e Serviços'!F55</f>
        <v>23.23</v>
      </c>
      <c r="G360" s="251"/>
      <c r="H360" s="251"/>
      <c r="I360" s="263">
        <f>C360*F360</f>
        <v>46.46</v>
      </c>
    </row>
    <row r="361" spans="1:9" ht="15.75" customHeight="1">
      <c r="A361" s="253">
        <v>88316</v>
      </c>
      <c r="B361" s="233"/>
      <c r="C361" s="625" t="s">
        <v>233</v>
      </c>
      <c r="D361" s="625"/>
      <c r="E361" s="625"/>
      <c r="F361" s="625"/>
      <c r="G361" s="625"/>
      <c r="H361" s="233"/>
      <c r="I361" s="261">
        <f>ROUNDUP(I359+I360,4)</f>
        <v>77.671499999999995</v>
      </c>
    </row>
    <row r="362" spans="1:9" ht="15.75" customHeight="1">
      <c r="A362" s="245"/>
      <c r="B362" s="239"/>
      <c r="C362" s="624" t="s">
        <v>234</v>
      </c>
      <c r="D362" s="624"/>
      <c r="E362" s="624"/>
      <c r="F362" s="624"/>
      <c r="G362" s="624"/>
      <c r="H362" s="239"/>
      <c r="I362" s="264">
        <f>ROUNDUP(I357+I361,4)</f>
        <v>165.45169999999999</v>
      </c>
    </row>
    <row r="363" spans="1:9" ht="15.75" customHeight="1">
      <c r="A363" s="253"/>
      <c r="B363" s="233"/>
      <c r="C363" s="625" t="s">
        <v>235</v>
      </c>
      <c r="D363" s="625"/>
      <c r="E363" s="625"/>
      <c r="F363" s="625"/>
      <c r="G363" s="625"/>
      <c r="H363" s="233"/>
      <c r="I363" s="265">
        <f>ROUNDDOWN(I362/H352,4)</f>
        <v>55.150500000000001</v>
      </c>
    </row>
    <row r="364" spans="1:9" ht="15.75" customHeight="1">
      <c r="A364" s="253"/>
      <c r="B364" s="233"/>
      <c r="C364" s="233"/>
      <c r="D364" s="233"/>
      <c r="E364" s="233"/>
      <c r="F364" s="233"/>
      <c r="G364" s="254" t="s">
        <v>236</v>
      </c>
      <c r="H364" s="233"/>
      <c r="I364" s="266" t="s">
        <v>237</v>
      </c>
    </row>
    <row r="365" spans="1:9" ht="15.75" customHeight="1">
      <c r="A365" s="245"/>
      <c r="B365" s="239"/>
      <c r="C365" s="239"/>
      <c r="D365" s="239"/>
      <c r="E365" s="239"/>
      <c r="F365" s="239"/>
      <c r="G365" s="246" t="s">
        <v>238</v>
      </c>
      <c r="H365" s="239"/>
      <c r="I365" s="264" t="s">
        <v>237</v>
      </c>
    </row>
    <row r="366" spans="1:9" ht="15.75" customHeight="1">
      <c r="A366" s="237" t="s">
        <v>239</v>
      </c>
      <c r="B366" s="239"/>
      <c r="C366" s="238" t="s">
        <v>219</v>
      </c>
      <c r="D366" s="238" t="s">
        <v>230</v>
      </c>
      <c r="E366" s="239"/>
      <c r="F366" s="238" t="s">
        <v>240</v>
      </c>
      <c r="G366" s="624" t="s">
        <v>241</v>
      </c>
      <c r="H366" s="624"/>
      <c r="I366" s="621"/>
    </row>
    <row r="367" spans="1:9" ht="24.95" customHeight="1">
      <c r="A367" s="245"/>
      <c r="B367" s="239"/>
      <c r="C367" s="624" t="s">
        <v>242</v>
      </c>
      <c r="D367" s="624"/>
      <c r="E367" s="624"/>
      <c r="F367" s="624"/>
      <c r="G367" s="624"/>
      <c r="H367" s="239"/>
      <c r="I367" s="262"/>
    </row>
    <row r="368" spans="1:9" ht="15.75" customHeight="1">
      <c r="A368" s="237" t="s">
        <v>243</v>
      </c>
      <c r="B368" s="239"/>
      <c r="C368" s="238" t="s">
        <v>219</v>
      </c>
      <c r="D368" s="238" t="s">
        <v>230</v>
      </c>
      <c r="E368" s="239"/>
      <c r="F368" s="238" t="s">
        <v>241</v>
      </c>
      <c r="G368" s="624" t="s">
        <v>241</v>
      </c>
      <c r="H368" s="624"/>
      <c r="I368" s="621"/>
    </row>
    <row r="369" spans="1:9" ht="28.5">
      <c r="A369" s="240">
        <f>'Preços Insumos e Serviços'!D25</f>
        <v>5213452</v>
      </c>
      <c r="B369" s="241" t="str">
        <f>'Preços Insumos e Serviços'!B25</f>
        <v>Placa de regulamentação em fibra, D = 0,60 m - película retrorrefletiva tipo I + SI - fornecimento e implantação</v>
      </c>
      <c r="C369" s="242">
        <v>0.35993999999999998</v>
      </c>
      <c r="D369" s="255" t="s">
        <v>69</v>
      </c>
      <c r="E369" s="233"/>
      <c r="F369" s="244">
        <f>'Preços Insumos e Serviços'!F25</f>
        <v>248.13</v>
      </c>
      <c r="G369" s="233"/>
      <c r="H369" s="233"/>
      <c r="I369" s="261">
        <f>ROUNDUP(C369*F369,4)</f>
        <v>89.311999999999998</v>
      </c>
    </row>
    <row r="370" spans="1:9" ht="15.75" customHeight="1">
      <c r="A370" s="245"/>
      <c r="B370" s="239"/>
      <c r="C370" s="624" t="s">
        <v>244</v>
      </c>
      <c r="D370" s="624"/>
      <c r="E370" s="624"/>
      <c r="F370" s="624"/>
      <c r="G370" s="624"/>
      <c r="H370" s="239"/>
      <c r="I370" s="262">
        <f>ROUNDDOWN(I369,4)</f>
        <v>89.311999999999998</v>
      </c>
    </row>
    <row r="371" spans="1:9" ht="15.75" customHeight="1">
      <c r="A371" s="245"/>
      <c r="B371" s="239"/>
      <c r="C371" s="239"/>
      <c r="D371" s="239"/>
      <c r="E371" s="239"/>
      <c r="F371" s="239"/>
      <c r="G371" s="246" t="s">
        <v>245</v>
      </c>
      <c r="H371" s="239"/>
      <c r="I371" s="264">
        <f>ROUNDDOWN(I363+I370,4)</f>
        <v>144.46250000000001</v>
      </c>
    </row>
    <row r="372" spans="1:9" ht="15.75" customHeight="1">
      <c r="A372" s="237" t="s">
        <v>246</v>
      </c>
      <c r="B372" s="239"/>
      <c r="C372" s="238" t="s">
        <v>201</v>
      </c>
      <c r="D372" s="238" t="s">
        <v>219</v>
      </c>
      <c r="E372" s="238" t="s">
        <v>230</v>
      </c>
      <c r="F372" s="239"/>
      <c r="G372" s="238" t="s">
        <v>241</v>
      </c>
      <c r="H372" s="624" t="s">
        <v>241</v>
      </c>
      <c r="I372" s="621"/>
    </row>
    <row r="373" spans="1:9" ht="15.75" customHeight="1">
      <c r="A373" s="245"/>
      <c r="B373" s="239"/>
      <c r="C373" s="624" t="s">
        <v>248</v>
      </c>
      <c r="D373" s="624"/>
      <c r="E373" s="624"/>
      <c r="F373" s="624"/>
      <c r="G373" s="624"/>
      <c r="H373" s="239"/>
      <c r="I373" s="264"/>
    </row>
    <row r="374" spans="1:9" ht="15.75" customHeight="1">
      <c r="A374" s="616" t="s">
        <v>249</v>
      </c>
      <c r="B374" s="617"/>
      <c r="C374" s="622" t="s">
        <v>219</v>
      </c>
      <c r="D374" s="622" t="s">
        <v>230</v>
      </c>
      <c r="E374" s="622" t="s">
        <v>250</v>
      </c>
      <c r="F374" s="622"/>
      <c r="G374" s="622"/>
      <c r="H374" s="233"/>
      <c r="I374" s="621" t="s">
        <v>241</v>
      </c>
    </row>
    <row r="375" spans="1:9" ht="15.75" customHeight="1">
      <c r="A375" s="616"/>
      <c r="B375" s="617"/>
      <c r="C375" s="622"/>
      <c r="D375" s="622"/>
      <c r="E375" s="238" t="s">
        <v>251</v>
      </c>
      <c r="F375" s="238" t="s">
        <v>252</v>
      </c>
      <c r="G375" s="238" t="s">
        <v>253</v>
      </c>
      <c r="H375" s="239"/>
      <c r="I375" s="621"/>
    </row>
    <row r="376" spans="1:9" ht="24.95" customHeight="1">
      <c r="A376" s="253"/>
      <c r="B376" s="233"/>
      <c r="C376" s="625" t="s">
        <v>259</v>
      </c>
      <c r="D376" s="625"/>
      <c r="E376" s="625"/>
      <c r="F376" s="625"/>
      <c r="G376" s="625"/>
      <c r="H376" s="233"/>
      <c r="I376" s="267"/>
    </row>
    <row r="377" spans="1:9" ht="15.75" customHeight="1">
      <c r="A377" s="245"/>
      <c r="B377" s="239"/>
      <c r="C377" s="239"/>
      <c r="D377" s="239"/>
      <c r="E377" s="624" t="s">
        <v>260</v>
      </c>
      <c r="F377" s="624"/>
      <c r="G377" s="624"/>
      <c r="H377" s="239"/>
      <c r="I377" s="269">
        <f>ROUND(I371,2)</f>
        <v>144.46</v>
      </c>
    </row>
    <row r="379" spans="1:9" ht="23.25" customHeight="1">
      <c r="A379" s="225" t="s">
        <v>210</v>
      </c>
      <c r="B379" s="226"/>
      <c r="C379" s="226"/>
      <c r="D379" s="226"/>
      <c r="E379" s="226"/>
      <c r="F379" s="226"/>
      <c r="G379" s="226"/>
      <c r="H379" s="226"/>
      <c r="I379" s="256" t="s">
        <v>211</v>
      </c>
    </row>
    <row r="380" spans="1:9" ht="18.75" customHeight="1">
      <c r="A380" s="227" t="s">
        <v>212</v>
      </c>
      <c r="B380" s="228"/>
      <c r="C380" s="228"/>
      <c r="D380" s="229" t="s">
        <v>213</v>
      </c>
      <c r="E380" s="228"/>
      <c r="F380" s="228"/>
      <c r="G380" s="228"/>
      <c r="H380" s="228"/>
      <c r="I380" s="257"/>
    </row>
    <row r="381" spans="1:9" ht="15.75" customHeight="1">
      <c r="A381" s="232" t="s">
        <v>214</v>
      </c>
      <c r="B381" s="233"/>
      <c r="C381" s="233"/>
      <c r="D381" s="183">
        <v>45383</v>
      </c>
      <c r="E381" s="233"/>
      <c r="F381" s="233"/>
      <c r="G381" s="234" t="s">
        <v>215</v>
      </c>
      <c r="H381" s="270">
        <v>4.0999999999999996</v>
      </c>
      <c r="I381" s="258" t="s">
        <v>287</v>
      </c>
    </row>
    <row r="382" spans="1:9" ht="53.25" customHeight="1">
      <c r="A382" s="236" t="s">
        <v>289</v>
      </c>
      <c r="B382" s="626" t="s">
        <v>138</v>
      </c>
      <c r="C382" s="626"/>
      <c r="D382" s="626"/>
      <c r="E382" s="626"/>
      <c r="F382" s="626"/>
      <c r="G382" s="626"/>
      <c r="H382" s="627" t="s">
        <v>217</v>
      </c>
      <c r="I382" s="628"/>
    </row>
    <row r="383" spans="1:9" ht="15.75" customHeight="1">
      <c r="A383" s="616" t="s">
        <v>218</v>
      </c>
      <c r="B383" s="617"/>
      <c r="C383" s="622" t="s">
        <v>219</v>
      </c>
      <c r="D383" s="622" t="s">
        <v>220</v>
      </c>
      <c r="E383" s="622"/>
      <c r="F383" s="622" t="s">
        <v>221</v>
      </c>
      <c r="G383" s="622"/>
      <c r="H383" s="233"/>
      <c r="I383" s="259" t="s">
        <v>222</v>
      </c>
    </row>
    <row r="384" spans="1:9" ht="15.75" customHeight="1">
      <c r="A384" s="616"/>
      <c r="B384" s="617"/>
      <c r="C384" s="622"/>
      <c r="D384" s="238" t="s">
        <v>223</v>
      </c>
      <c r="E384" s="238" t="s">
        <v>224</v>
      </c>
      <c r="F384" s="238" t="s">
        <v>225</v>
      </c>
      <c r="G384" s="238" t="s">
        <v>226</v>
      </c>
      <c r="H384" s="239"/>
      <c r="I384" s="260" t="s">
        <v>227</v>
      </c>
    </row>
    <row r="385" spans="1:9">
      <c r="A385" s="240" t="str">
        <f>'Preços Insumos e Serviços'!D8</f>
        <v>E9687</v>
      </c>
      <c r="B385" s="241" t="str">
        <f>'Preços Insumos e Serviços'!B8</f>
        <v>Caminhão carroceria com capacidade de 5 t - 115 Kw</v>
      </c>
      <c r="C385" s="242">
        <v>1</v>
      </c>
      <c r="D385" s="243">
        <v>0.3</v>
      </c>
      <c r="E385" s="243">
        <v>0.7</v>
      </c>
      <c r="F385" s="244">
        <f>'Preços Insumos e Serviços'!F8</f>
        <v>148.93690000000001</v>
      </c>
      <c r="G385" s="244">
        <f>'Preços Insumos e Serviços'!G8</f>
        <v>61.570099999999996</v>
      </c>
      <c r="H385" s="233"/>
      <c r="I385" s="261">
        <f t="shared" ref="I385" si="3">(((D385*F385)+(E385*G385))*C385)</f>
        <v>87.780140000000003</v>
      </c>
    </row>
    <row r="386" spans="1:9" ht="15.75" customHeight="1">
      <c r="A386" s="245"/>
      <c r="B386" s="239"/>
      <c r="C386" s="239"/>
      <c r="D386" s="239"/>
      <c r="E386" s="239"/>
      <c r="F386" s="239"/>
      <c r="G386" s="246" t="s">
        <v>228</v>
      </c>
      <c r="H386" s="239"/>
      <c r="I386" s="262">
        <f>ROUNDUP(I385,4)</f>
        <v>87.780199999999994</v>
      </c>
    </row>
    <row r="387" spans="1:9" ht="15.75" customHeight="1">
      <c r="A387" s="237" t="s">
        <v>229</v>
      </c>
      <c r="B387" s="239"/>
      <c r="C387" s="238" t="s">
        <v>219</v>
      </c>
      <c r="D387" s="238" t="s">
        <v>230</v>
      </c>
      <c r="E387" s="239"/>
      <c r="F387" s="238" t="s">
        <v>221</v>
      </c>
      <c r="G387" s="624" t="s">
        <v>231</v>
      </c>
      <c r="H387" s="624"/>
      <c r="I387" s="621"/>
    </row>
    <row r="388" spans="1:9">
      <c r="A388" s="240" t="str">
        <f>'Preços Insumos e Serviços'!D21</f>
        <v>P9830</v>
      </c>
      <c r="B388" s="241" t="str">
        <f>'Preços Insumos e Serviços'!B21</f>
        <v>Montador</v>
      </c>
      <c r="C388" s="242">
        <v>1</v>
      </c>
      <c r="D388" s="255" t="s">
        <v>232</v>
      </c>
      <c r="E388" s="233"/>
      <c r="F388" s="244">
        <f>'Preços Insumos e Serviços'!F21</f>
        <v>31.211500000000001</v>
      </c>
      <c r="G388" s="233"/>
      <c r="H388" s="233"/>
      <c r="I388" s="261">
        <f>ROUND(C388*F388,4)</f>
        <v>31.211500000000001</v>
      </c>
    </row>
    <row r="389" spans="1:9">
      <c r="A389" s="247">
        <f>'Preços Insumos e Serviços'!D55</f>
        <v>88316</v>
      </c>
      <c r="B389" s="248" t="str">
        <f>'Preços Insumos e Serviços'!B55</f>
        <v>SERVENTE COM ENCARGOS COMPLEMENTARES</v>
      </c>
      <c r="C389" s="249">
        <v>1</v>
      </c>
      <c r="D389" s="250" t="s">
        <v>232</v>
      </c>
      <c r="E389" s="251"/>
      <c r="F389" s="252">
        <f>'Preços Insumos e Serviços'!F55</f>
        <v>23.23</v>
      </c>
      <c r="G389" s="251"/>
      <c r="H389" s="251"/>
      <c r="I389" s="263">
        <f>ROUND(C389*F389,4)</f>
        <v>23.23</v>
      </c>
    </row>
    <row r="390" spans="1:9" ht="15.75" customHeight="1">
      <c r="A390" s="253"/>
      <c r="B390" s="233"/>
      <c r="C390" s="625" t="s">
        <v>233</v>
      </c>
      <c r="D390" s="625"/>
      <c r="E390" s="625"/>
      <c r="F390" s="625"/>
      <c r="G390" s="625"/>
      <c r="H390" s="233"/>
      <c r="I390" s="261">
        <f>ROUND(I388+I389,4)</f>
        <v>54.441499999999998</v>
      </c>
    </row>
    <row r="391" spans="1:9" ht="15.75" customHeight="1">
      <c r="A391" s="245"/>
      <c r="B391" s="239"/>
      <c r="C391" s="624" t="s">
        <v>234</v>
      </c>
      <c r="D391" s="624"/>
      <c r="E391" s="624"/>
      <c r="F391" s="624"/>
      <c r="G391" s="624"/>
      <c r="H391" s="239"/>
      <c r="I391" s="264">
        <f>ROUNDUP(I386+I390,4)</f>
        <v>142.2217</v>
      </c>
    </row>
    <row r="392" spans="1:9" ht="15.75" customHeight="1">
      <c r="A392" s="253"/>
      <c r="B392" s="233"/>
      <c r="C392" s="625" t="s">
        <v>235</v>
      </c>
      <c r="D392" s="625"/>
      <c r="E392" s="625"/>
      <c r="F392" s="625"/>
      <c r="G392" s="625"/>
      <c r="H392" s="233"/>
      <c r="I392" s="265">
        <f>ROUNDDOWN(I391/H381,4)</f>
        <v>34.688200000000002</v>
      </c>
    </row>
    <row r="393" spans="1:9" ht="15.75" customHeight="1">
      <c r="A393" s="253"/>
      <c r="B393" s="233"/>
      <c r="C393" s="233"/>
      <c r="D393" s="233"/>
      <c r="E393" s="233"/>
      <c r="F393" s="233"/>
      <c r="G393" s="254" t="s">
        <v>236</v>
      </c>
      <c r="H393" s="233"/>
      <c r="I393" s="266" t="s">
        <v>237</v>
      </c>
    </row>
    <row r="394" spans="1:9" ht="15.75" customHeight="1">
      <c r="A394" s="245"/>
      <c r="B394" s="239"/>
      <c r="C394" s="239"/>
      <c r="D394" s="239"/>
      <c r="E394" s="239"/>
      <c r="F394" s="239"/>
      <c r="G394" s="246" t="s">
        <v>238</v>
      </c>
      <c r="H394" s="239"/>
      <c r="I394" s="264" t="s">
        <v>237</v>
      </c>
    </row>
    <row r="395" spans="1:9" ht="15.75" customHeight="1">
      <c r="A395" s="237" t="s">
        <v>239</v>
      </c>
      <c r="B395" s="239"/>
      <c r="C395" s="238" t="s">
        <v>219</v>
      </c>
      <c r="D395" s="238" t="s">
        <v>230</v>
      </c>
      <c r="E395" s="239"/>
      <c r="F395" s="238" t="s">
        <v>240</v>
      </c>
      <c r="G395" s="624" t="s">
        <v>241</v>
      </c>
      <c r="H395" s="624"/>
      <c r="I395" s="621"/>
    </row>
    <row r="396" spans="1:9" ht="28.5">
      <c r="A396" s="240" t="str">
        <f>'Preços Insumos e Serviços'!D15</f>
        <v>M0789</v>
      </c>
      <c r="B396" s="241" t="str">
        <f>'Preços Insumos e Serviços'!B15</f>
        <v>Conjunto para fixação de placas em aço galvanizado composto por barra chata, abraçadeira, parafusos, porcas e arruelas</v>
      </c>
      <c r="C396" s="242">
        <v>0.69699999999999995</v>
      </c>
      <c r="D396" s="255" t="s">
        <v>122</v>
      </c>
      <c r="E396" s="233"/>
      <c r="F396" s="244">
        <f>'Preços Insumos e Serviços'!F15</f>
        <v>29.837900000000001</v>
      </c>
      <c r="G396" s="233"/>
      <c r="H396" s="233"/>
      <c r="I396" s="261">
        <f>ROUND(C396*F396,4)</f>
        <v>20.797000000000001</v>
      </c>
    </row>
    <row r="397" spans="1:9">
      <c r="A397" s="240" t="str">
        <f>'Preços Insumos e Serviços'!D29</f>
        <v>M0787</v>
      </c>
      <c r="B397" s="241" t="str">
        <f>'Preços Insumos e Serviços'!B29</f>
        <v>Suporte em aço-carbono galvanizado tipo perfil C para placa de sinalização</v>
      </c>
      <c r="C397" s="242">
        <v>12.717000000000001</v>
      </c>
      <c r="D397" s="255" t="s">
        <v>122</v>
      </c>
      <c r="E397" s="233"/>
      <c r="F397" s="244">
        <f>'Preços Insumos e Serviços'!F29</f>
        <v>29.636199999999999</v>
      </c>
      <c r="G397" s="233"/>
      <c r="H397" s="233"/>
      <c r="I397" s="261">
        <f>ROUND(C397*F397,4)</f>
        <v>376.8836</v>
      </c>
    </row>
    <row r="398" spans="1:9" ht="15.75" customHeight="1">
      <c r="A398" s="245"/>
      <c r="B398" s="239"/>
      <c r="C398" s="624" t="s">
        <v>242</v>
      </c>
      <c r="D398" s="624"/>
      <c r="E398" s="624"/>
      <c r="F398" s="624"/>
      <c r="G398" s="624"/>
      <c r="H398" s="239"/>
      <c r="I398" s="262">
        <f>ROUND(I396+I397,4)</f>
        <v>397.68060000000003</v>
      </c>
    </row>
    <row r="399" spans="1:9" ht="15.75" customHeight="1">
      <c r="A399" s="237" t="s">
        <v>243</v>
      </c>
      <c r="B399" s="239"/>
      <c r="C399" s="238" t="s">
        <v>219</v>
      </c>
      <c r="D399" s="238" t="s">
        <v>230</v>
      </c>
      <c r="E399" s="239"/>
      <c r="F399" s="238" t="s">
        <v>241</v>
      </c>
      <c r="G399" s="624" t="s">
        <v>241</v>
      </c>
      <c r="H399" s="624"/>
      <c r="I399" s="621"/>
    </row>
    <row r="400" spans="1:9" ht="28.5">
      <c r="A400" s="240">
        <f>'Preços Insumos e Serviços'!D13</f>
        <v>1107892</v>
      </c>
      <c r="B400" s="241" t="str">
        <f>'Preços Insumos e Serviços'!B13</f>
        <v>Concreto fck = 20 Mpa - confecção em betoneira e lançamento manual - areia e brita comerciais</v>
      </c>
      <c r="C400" s="242">
        <v>5.0299999999999997E-2</v>
      </c>
      <c r="D400" s="255" t="s">
        <v>86</v>
      </c>
      <c r="E400" s="233"/>
      <c r="F400" s="244">
        <f>'Preços Insumos e Serviços'!F13</f>
        <v>473.84</v>
      </c>
      <c r="G400" s="233"/>
      <c r="H400" s="233"/>
      <c r="I400" s="261">
        <f>ROUND(C400*F400,4)</f>
        <v>23.834199999999999</v>
      </c>
    </row>
    <row r="401" spans="1:9">
      <c r="A401" s="240">
        <f>'Preços Insumos e Serviços'!D17</f>
        <v>4805750</v>
      </c>
      <c r="B401" s="241" t="str">
        <f>'Preços Insumos e Serviços'!B17</f>
        <v>Escavação manual em material de 1ª categoria na profundidade de até 1 m</v>
      </c>
      <c r="C401" s="242">
        <v>5.0299999999999997E-2</v>
      </c>
      <c r="D401" s="255" t="s">
        <v>86</v>
      </c>
      <c r="E401" s="233"/>
      <c r="F401" s="244">
        <f>'Preços Insumos e Serviços'!F17</f>
        <v>45.74</v>
      </c>
      <c r="G401" s="233"/>
      <c r="H401" s="233"/>
      <c r="I401" s="261">
        <f>ROUND(C401*F401,4)</f>
        <v>2.3007</v>
      </c>
    </row>
    <row r="402" spans="1:9" ht="15.75" customHeight="1">
      <c r="A402" s="245"/>
      <c r="B402" s="239"/>
      <c r="C402" s="624" t="s">
        <v>244</v>
      </c>
      <c r="D402" s="624"/>
      <c r="E402" s="624"/>
      <c r="F402" s="624"/>
      <c r="G402" s="624"/>
      <c r="H402" s="239"/>
      <c r="I402" s="262">
        <f>ROUND(I400+I401,4)</f>
        <v>26.134899999999998</v>
      </c>
    </row>
    <row r="403" spans="1:9" ht="15.75" customHeight="1">
      <c r="A403" s="245"/>
      <c r="B403" s="239"/>
      <c r="C403" s="239"/>
      <c r="D403" s="239"/>
      <c r="E403" s="239"/>
      <c r="F403" s="239"/>
      <c r="G403" s="246" t="s">
        <v>245</v>
      </c>
      <c r="H403" s="239"/>
      <c r="I403" s="264">
        <f>ROUND(I392+I398+I402,4)</f>
        <v>458.50369999999998</v>
      </c>
    </row>
    <row r="404" spans="1:9" ht="15.75" customHeight="1">
      <c r="A404" s="237" t="s">
        <v>246</v>
      </c>
      <c r="B404" s="239"/>
      <c r="C404" s="238" t="s">
        <v>201</v>
      </c>
      <c r="D404" s="238" t="s">
        <v>219</v>
      </c>
      <c r="E404" s="238" t="s">
        <v>230</v>
      </c>
      <c r="F404" s="239"/>
      <c r="G404" s="238" t="s">
        <v>241</v>
      </c>
      <c r="H404" s="624" t="s">
        <v>241</v>
      </c>
      <c r="I404" s="621"/>
    </row>
    <row r="405" spans="1:9" ht="28.5">
      <c r="A405" s="240" t="str">
        <f>A396</f>
        <v>M0789</v>
      </c>
      <c r="B405" s="241" t="str">
        <f>'Preços Insumos e Serviços'!B16</f>
        <v>Conjunto para fixação de placas em aço galvanizado composto por barra chata, abraçadeira, parafusos, porcas e arruelas - Caminhão carroceria 15 t</v>
      </c>
      <c r="C405" s="255">
        <f>'Preços Insumos e Serviços'!D16</f>
        <v>5914655</v>
      </c>
      <c r="D405" s="242">
        <v>6.9999999999999999E-4</v>
      </c>
      <c r="E405" s="255" t="s">
        <v>247</v>
      </c>
      <c r="F405" s="233"/>
      <c r="G405" s="244">
        <f>'Preços Insumos e Serviços'!F16</f>
        <v>33.18</v>
      </c>
      <c r="H405" s="233"/>
      <c r="I405" s="261">
        <f>ROUND(D405*G405,4)</f>
        <v>2.3199999999999998E-2</v>
      </c>
    </row>
    <row r="406" spans="1:9" ht="28.5">
      <c r="A406" s="240" t="str">
        <f>A397</f>
        <v>M0787</v>
      </c>
      <c r="B406" s="241" t="str">
        <f>'Preços Insumos e Serviços'!B30</f>
        <v>Suporte metálico galvanizado para placa de advertência ou regulamentação - lado ou diâmetro de 0,60 m - fornecimento e implantação</v>
      </c>
      <c r="C406" s="255">
        <f>'Preços Insumos e Serviços'!D30</f>
        <v>5213863</v>
      </c>
      <c r="D406" s="242">
        <v>1.272E-2</v>
      </c>
      <c r="E406" s="255" t="s">
        <v>247</v>
      </c>
      <c r="F406" s="233"/>
      <c r="G406" s="244">
        <f>'Preços Insumos e Serviços'!F30</f>
        <v>459.11</v>
      </c>
      <c r="H406" s="233"/>
      <c r="I406" s="261">
        <f>ROUND(D406*G406,4)</f>
        <v>5.8399000000000001</v>
      </c>
    </row>
    <row r="407" spans="1:9" ht="15.75" customHeight="1">
      <c r="A407" s="245"/>
      <c r="B407" s="239"/>
      <c r="C407" s="624" t="s">
        <v>248</v>
      </c>
      <c r="D407" s="624"/>
      <c r="E407" s="624"/>
      <c r="F407" s="624"/>
      <c r="G407" s="624"/>
      <c r="H407" s="239"/>
      <c r="I407" s="264">
        <f>ROUND(I405+I406,4)</f>
        <v>5.8631000000000002</v>
      </c>
    </row>
    <row r="408" spans="1:9" ht="15.75" customHeight="1">
      <c r="A408" s="616" t="s">
        <v>249</v>
      </c>
      <c r="B408" s="617"/>
      <c r="C408" s="622" t="s">
        <v>219</v>
      </c>
      <c r="D408" s="622" t="s">
        <v>230</v>
      </c>
      <c r="E408" s="622" t="s">
        <v>250</v>
      </c>
      <c r="F408" s="622"/>
      <c r="G408" s="622"/>
      <c r="H408" s="233"/>
      <c r="I408" s="621" t="s">
        <v>241</v>
      </c>
    </row>
    <row r="409" spans="1:9" ht="15.75" customHeight="1">
      <c r="A409" s="616"/>
      <c r="B409" s="617"/>
      <c r="C409" s="622"/>
      <c r="D409" s="622"/>
      <c r="E409" s="238" t="s">
        <v>251</v>
      </c>
      <c r="F409" s="238" t="s">
        <v>252</v>
      </c>
      <c r="G409" s="238" t="s">
        <v>253</v>
      </c>
      <c r="H409" s="239"/>
      <c r="I409" s="621"/>
    </row>
    <row r="410" spans="1:9" ht="28.5">
      <c r="A410" s="240" t="str">
        <f>A396</f>
        <v>M0789</v>
      </c>
      <c r="B410" s="241" t="s">
        <v>290</v>
      </c>
      <c r="C410" s="242">
        <v>6.9999999999999999E-4</v>
      </c>
      <c r="D410" s="255" t="s">
        <v>255</v>
      </c>
      <c r="E410" s="255" t="s">
        <v>291</v>
      </c>
      <c r="F410" s="255" t="s">
        <v>292</v>
      </c>
      <c r="G410" s="255" t="s">
        <v>293</v>
      </c>
      <c r="H410" s="233"/>
      <c r="I410" s="267"/>
    </row>
    <row r="411" spans="1:9" ht="28.5">
      <c r="A411" s="240" t="str">
        <f>A397</f>
        <v>M0787</v>
      </c>
      <c r="B411" s="241" t="s">
        <v>294</v>
      </c>
      <c r="C411" s="242">
        <v>1.272E-2</v>
      </c>
      <c r="D411" s="255" t="s">
        <v>255</v>
      </c>
      <c r="E411" s="255" t="s">
        <v>291</v>
      </c>
      <c r="F411" s="255" t="s">
        <v>292</v>
      </c>
      <c r="G411" s="255" t="s">
        <v>293</v>
      </c>
      <c r="H411" s="233"/>
      <c r="I411" s="267"/>
    </row>
    <row r="412" spans="1:9" ht="24.95" customHeight="1">
      <c r="A412" s="253"/>
      <c r="B412" s="233"/>
      <c r="C412" s="625" t="s">
        <v>259</v>
      </c>
      <c r="D412" s="625"/>
      <c r="E412" s="625"/>
      <c r="F412" s="625"/>
      <c r="G412" s="625"/>
      <c r="H412" s="233"/>
      <c r="I412" s="267"/>
    </row>
    <row r="413" spans="1:9" ht="15.75" customHeight="1">
      <c r="A413" s="245"/>
      <c r="B413" s="239"/>
      <c r="C413" s="239"/>
      <c r="D413" s="239"/>
      <c r="E413" s="624" t="s">
        <v>260</v>
      </c>
      <c r="F413" s="624"/>
      <c r="G413" s="624"/>
      <c r="H413" s="239"/>
      <c r="I413" s="269">
        <f>ROUND(I403+I407,4)</f>
        <v>464.36680000000001</v>
      </c>
    </row>
  </sheetData>
  <mergeCells count="328">
    <mergeCell ref="A1:G1"/>
    <mergeCell ref="A2:G2"/>
    <mergeCell ref="A3:G3"/>
    <mergeCell ref="A5:I5"/>
    <mergeCell ref="B10:G10"/>
    <mergeCell ref="H10:I10"/>
    <mergeCell ref="D11:E11"/>
    <mergeCell ref="F11:G11"/>
    <mergeCell ref="G14:I14"/>
    <mergeCell ref="C17:G17"/>
    <mergeCell ref="C18:G18"/>
    <mergeCell ref="C19:G19"/>
    <mergeCell ref="G22:I22"/>
    <mergeCell ref="C24:G24"/>
    <mergeCell ref="G25:I25"/>
    <mergeCell ref="C27:G27"/>
    <mergeCell ref="H29:I29"/>
    <mergeCell ref="C31:G31"/>
    <mergeCell ref="E32:G32"/>
    <mergeCell ref="C35:G35"/>
    <mergeCell ref="E36:G36"/>
    <mergeCell ref="B41:G41"/>
    <mergeCell ref="H41:I41"/>
    <mergeCell ref="D42:E42"/>
    <mergeCell ref="F42:G42"/>
    <mergeCell ref="G46:I46"/>
    <mergeCell ref="C49:G49"/>
    <mergeCell ref="I32:I33"/>
    <mergeCell ref="C50:G50"/>
    <mergeCell ref="C51:G51"/>
    <mergeCell ref="G54:I54"/>
    <mergeCell ref="C56:G56"/>
    <mergeCell ref="G57:I57"/>
    <mergeCell ref="C59:G59"/>
    <mergeCell ref="H61:I61"/>
    <mergeCell ref="C62:G62"/>
    <mergeCell ref="E63:G63"/>
    <mergeCell ref="I63:I64"/>
    <mergeCell ref="C66:G66"/>
    <mergeCell ref="E67:G67"/>
    <mergeCell ref="B72:G72"/>
    <mergeCell ref="H72:I72"/>
    <mergeCell ref="D73:E73"/>
    <mergeCell ref="F73:G73"/>
    <mergeCell ref="G77:I77"/>
    <mergeCell ref="C79:G79"/>
    <mergeCell ref="C80:G80"/>
    <mergeCell ref="C81:G81"/>
    <mergeCell ref="G84:I84"/>
    <mergeCell ref="C85:G85"/>
    <mergeCell ref="G86:I86"/>
    <mergeCell ref="C87:G87"/>
    <mergeCell ref="H89:I89"/>
    <mergeCell ref="C90:G90"/>
    <mergeCell ref="E91:G91"/>
    <mergeCell ref="C93:G93"/>
    <mergeCell ref="I91:I92"/>
    <mergeCell ref="E94:G94"/>
    <mergeCell ref="A95:G95"/>
    <mergeCell ref="B100:G100"/>
    <mergeCell ref="H100:I100"/>
    <mergeCell ref="D101:E101"/>
    <mergeCell ref="F101:G101"/>
    <mergeCell ref="G105:I105"/>
    <mergeCell ref="C107:G107"/>
    <mergeCell ref="C108:G108"/>
    <mergeCell ref="C109:G109"/>
    <mergeCell ref="G112:I112"/>
    <mergeCell ref="C113:G113"/>
    <mergeCell ref="G114:I114"/>
    <mergeCell ref="C115:G115"/>
    <mergeCell ref="H117:I117"/>
    <mergeCell ref="C118:G118"/>
    <mergeCell ref="E119:G119"/>
    <mergeCell ref="C121:G121"/>
    <mergeCell ref="I119:I120"/>
    <mergeCell ref="E122:G122"/>
    <mergeCell ref="B127:G127"/>
    <mergeCell ref="H127:I127"/>
    <mergeCell ref="D128:E128"/>
    <mergeCell ref="F128:G128"/>
    <mergeCell ref="G132:I132"/>
    <mergeCell ref="C134:G134"/>
    <mergeCell ref="C135:G135"/>
    <mergeCell ref="C136:G136"/>
    <mergeCell ref="G139:I139"/>
    <mergeCell ref="C140:G140"/>
    <mergeCell ref="G141:I141"/>
    <mergeCell ref="C142:G142"/>
    <mergeCell ref="H144:I144"/>
    <mergeCell ref="C145:G145"/>
    <mergeCell ref="E146:G146"/>
    <mergeCell ref="C148:G148"/>
    <mergeCell ref="E149:G149"/>
    <mergeCell ref="I146:I147"/>
    <mergeCell ref="B154:G154"/>
    <mergeCell ref="H154:I154"/>
    <mergeCell ref="D155:E155"/>
    <mergeCell ref="F155:G155"/>
    <mergeCell ref="G164:I164"/>
    <mergeCell ref="C166:G166"/>
    <mergeCell ref="C167:G167"/>
    <mergeCell ref="C168:G168"/>
    <mergeCell ref="G171:I171"/>
    <mergeCell ref="C172:G172"/>
    <mergeCell ref="G173:I173"/>
    <mergeCell ref="C175:G175"/>
    <mergeCell ref="H177:I177"/>
    <mergeCell ref="C179:G179"/>
    <mergeCell ref="E180:G180"/>
    <mergeCell ref="C183:G183"/>
    <mergeCell ref="E184:G184"/>
    <mergeCell ref="B189:G189"/>
    <mergeCell ref="H189:I189"/>
    <mergeCell ref="I180:I181"/>
    <mergeCell ref="D190:E190"/>
    <mergeCell ref="F190:G190"/>
    <mergeCell ref="G194:I194"/>
    <mergeCell ref="C196:G196"/>
    <mergeCell ref="C197:G197"/>
    <mergeCell ref="C198:G198"/>
    <mergeCell ref="G201:I201"/>
    <mergeCell ref="C202:G202"/>
    <mergeCell ref="G203:I203"/>
    <mergeCell ref="C204:G204"/>
    <mergeCell ref="H206:I206"/>
    <mergeCell ref="C207:G207"/>
    <mergeCell ref="E208:G208"/>
    <mergeCell ref="C210:G210"/>
    <mergeCell ref="E211:G211"/>
    <mergeCell ref="B216:G216"/>
    <mergeCell ref="H216:I216"/>
    <mergeCell ref="D217:E217"/>
    <mergeCell ref="F217:G217"/>
    <mergeCell ref="I208:I209"/>
    <mergeCell ref="G221:I221"/>
    <mergeCell ref="C223:G223"/>
    <mergeCell ref="C224:G224"/>
    <mergeCell ref="C225:G225"/>
    <mergeCell ref="G228:I228"/>
    <mergeCell ref="C229:G229"/>
    <mergeCell ref="G230:I230"/>
    <mergeCell ref="C231:G231"/>
    <mergeCell ref="H233:I233"/>
    <mergeCell ref="C234:G234"/>
    <mergeCell ref="E235:G235"/>
    <mergeCell ref="C237:G237"/>
    <mergeCell ref="E238:G238"/>
    <mergeCell ref="B243:G243"/>
    <mergeCell ref="H243:I243"/>
    <mergeCell ref="D244:E244"/>
    <mergeCell ref="F244:G244"/>
    <mergeCell ref="G248:I248"/>
    <mergeCell ref="I235:I236"/>
    <mergeCell ref="C249:G249"/>
    <mergeCell ref="C250:G250"/>
    <mergeCell ref="C251:G251"/>
    <mergeCell ref="G254:I254"/>
    <mergeCell ref="C255:G255"/>
    <mergeCell ref="G256:I256"/>
    <mergeCell ref="C257:G257"/>
    <mergeCell ref="H259:I259"/>
    <mergeCell ref="C260:G260"/>
    <mergeCell ref="E261:G261"/>
    <mergeCell ref="C263:G263"/>
    <mergeCell ref="E264:G264"/>
    <mergeCell ref="B269:G269"/>
    <mergeCell ref="H269:I269"/>
    <mergeCell ref="D270:E270"/>
    <mergeCell ref="F270:G270"/>
    <mergeCell ref="G274:I274"/>
    <mergeCell ref="C275:G275"/>
    <mergeCell ref="C270:C271"/>
    <mergeCell ref="I261:I262"/>
    <mergeCell ref="C276:G276"/>
    <mergeCell ref="C277:G277"/>
    <mergeCell ref="G280:I280"/>
    <mergeCell ref="C281:G281"/>
    <mergeCell ref="G282:I282"/>
    <mergeCell ref="C283:G283"/>
    <mergeCell ref="H285:I285"/>
    <mergeCell ref="C286:G286"/>
    <mergeCell ref="E287:G287"/>
    <mergeCell ref="C287:C288"/>
    <mergeCell ref="I287:I288"/>
    <mergeCell ref="C289:G289"/>
    <mergeCell ref="E290:G290"/>
    <mergeCell ref="B295:G295"/>
    <mergeCell ref="H295:I295"/>
    <mergeCell ref="D296:E296"/>
    <mergeCell ref="F296:G296"/>
    <mergeCell ref="G300:I300"/>
    <mergeCell ref="C301:G301"/>
    <mergeCell ref="C302:G302"/>
    <mergeCell ref="C296:C297"/>
    <mergeCell ref="C303:G303"/>
    <mergeCell ref="G306:I306"/>
    <mergeCell ref="C307:G307"/>
    <mergeCell ref="G308:I308"/>
    <mergeCell ref="C309:G309"/>
    <mergeCell ref="H311:I311"/>
    <mergeCell ref="C312:G312"/>
    <mergeCell ref="E313:G313"/>
    <mergeCell ref="C315:G315"/>
    <mergeCell ref="C313:C314"/>
    <mergeCell ref="I313:I314"/>
    <mergeCell ref="E316:G316"/>
    <mergeCell ref="B321:G321"/>
    <mergeCell ref="H321:I321"/>
    <mergeCell ref="D322:E322"/>
    <mergeCell ref="F322:G322"/>
    <mergeCell ref="G331:I331"/>
    <mergeCell ref="C333:G333"/>
    <mergeCell ref="C334:G334"/>
    <mergeCell ref="C335:G335"/>
    <mergeCell ref="C322:C323"/>
    <mergeCell ref="G338:I338"/>
    <mergeCell ref="C339:G339"/>
    <mergeCell ref="G340:I340"/>
    <mergeCell ref="C341:G341"/>
    <mergeCell ref="H343:I343"/>
    <mergeCell ref="C344:G344"/>
    <mergeCell ref="E345:G345"/>
    <mergeCell ref="C347:G347"/>
    <mergeCell ref="E348:G348"/>
    <mergeCell ref="C345:C346"/>
    <mergeCell ref="I345:I346"/>
    <mergeCell ref="B353:G353"/>
    <mergeCell ref="H353:I353"/>
    <mergeCell ref="D354:E354"/>
    <mergeCell ref="F354:G354"/>
    <mergeCell ref="G358:I358"/>
    <mergeCell ref="C361:G361"/>
    <mergeCell ref="C362:G362"/>
    <mergeCell ref="C363:G363"/>
    <mergeCell ref="G366:I366"/>
    <mergeCell ref="C354:C355"/>
    <mergeCell ref="C390:G390"/>
    <mergeCell ref="C391:G391"/>
    <mergeCell ref="C392:G392"/>
    <mergeCell ref="G395:I395"/>
    <mergeCell ref="C398:G398"/>
    <mergeCell ref="G399:I399"/>
    <mergeCell ref="C383:C384"/>
    <mergeCell ref="C367:G367"/>
    <mergeCell ref="G368:I368"/>
    <mergeCell ref="C370:G370"/>
    <mergeCell ref="H372:I372"/>
    <mergeCell ref="C373:G373"/>
    <mergeCell ref="E374:G374"/>
    <mergeCell ref="C376:G376"/>
    <mergeCell ref="E377:G377"/>
    <mergeCell ref="B382:G382"/>
    <mergeCell ref="H382:I382"/>
    <mergeCell ref="C374:C375"/>
    <mergeCell ref="I374:I375"/>
    <mergeCell ref="H404:I404"/>
    <mergeCell ref="C407:G407"/>
    <mergeCell ref="E408:G408"/>
    <mergeCell ref="C412:G412"/>
    <mergeCell ref="E413:G413"/>
    <mergeCell ref="C11:C12"/>
    <mergeCell ref="C32:C33"/>
    <mergeCell ref="C42:C43"/>
    <mergeCell ref="C63:C64"/>
    <mergeCell ref="C73:C74"/>
    <mergeCell ref="C91:C92"/>
    <mergeCell ref="C101:C102"/>
    <mergeCell ref="C119:C120"/>
    <mergeCell ref="C128:C129"/>
    <mergeCell ref="C146:C147"/>
    <mergeCell ref="C155:C156"/>
    <mergeCell ref="C180:C181"/>
    <mergeCell ref="C190:C191"/>
    <mergeCell ref="C208:C209"/>
    <mergeCell ref="C217:C218"/>
    <mergeCell ref="C235:C236"/>
    <mergeCell ref="C244:C245"/>
    <mergeCell ref="C261:C262"/>
    <mergeCell ref="D383:E383"/>
    <mergeCell ref="A270:B271"/>
    <mergeCell ref="A261:B262"/>
    <mergeCell ref="A244:B245"/>
    <mergeCell ref="A235:B236"/>
    <mergeCell ref="A217:B218"/>
    <mergeCell ref="A208:B209"/>
    <mergeCell ref="C408:C409"/>
    <mergeCell ref="D32:D33"/>
    <mergeCell ref="D63:D64"/>
    <mergeCell ref="D91:D92"/>
    <mergeCell ref="D119:D120"/>
    <mergeCell ref="D146:D147"/>
    <mergeCell ref="D180:D181"/>
    <mergeCell ref="D208:D209"/>
    <mergeCell ref="D235:D236"/>
    <mergeCell ref="D261:D262"/>
    <mergeCell ref="D287:D288"/>
    <mergeCell ref="D313:D314"/>
    <mergeCell ref="D345:D346"/>
    <mergeCell ref="D374:D375"/>
    <mergeCell ref="D408:D409"/>
    <mergeCell ref="C402:G402"/>
    <mergeCell ref="F383:G383"/>
    <mergeCell ref="G387:I387"/>
    <mergeCell ref="A190:B191"/>
    <mergeCell ref="A180:B181"/>
    <mergeCell ref="A155:B156"/>
    <mergeCell ref="H1:I3"/>
    <mergeCell ref="A101:B102"/>
    <mergeCell ref="A146:B147"/>
    <mergeCell ref="I408:I409"/>
    <mergeCell ref="A32:B33"/>
    <mergeCell ref="A11:B12"/>
    <mergeCell ref="A63:B64"/>
    <mergeCell ref="A42:B43"/>
    <mergeCell ref="A73:B74"/>
    <mergeCell ref="A119:B120"/>
    <mergeCell ref="A91:B92"/>
    <mergeCell ref="A128:B129"/>
    <mergeCell ref="A408:B409"/>
    <mergeCell ref="A383:B384"/>
    <mergeCell ref="A374:B375"/>
    <mergeCell ref="A354:B355"/>
    <mergeCell ref="A345:B346"/>
    <mergeCell ref="A322:B323"/>
    <mergeCell ref="A313:B314"/>
    <mergeCell ref="A296:B297"/>
    <mergeCell ref="A287:B288"/>
  </mergeCells>
  <pageMargins left="0.59055118110236204" right="0.59055118110236204" top="0.78740157480314998" bottom="0.59055118110236204" header="0.31496062992126" footer="0.31496062992126"/>
  <pageSetup paperSize="9" scale="67" fitToHeight="0" orientation="landscape" r:id="rId1"/>
  <rowBreaks count="13" manualBreakCount="13">
    <brk id="36" max="16383" man="1"/>
    <brk id="67" max="16383" man="1"/>
    <brk id="95" max="16383" man="1"/>
    <brk id="122" max="16383" man="1"/>
    <brk id="149" max="16383" man="1"/>
    <brk id="184" max="16383" man="1"/>
    <brk id="211" max="16383" man="1"/>
    <brk id="238" max="16383" man="1"/>
    <brk id="264" max="16383" man="1"/>
    <brk id="290" max="16383" man="1"/>
    <brk id="316" max="16383" man="1"/>
    <brk id="348" max="16383" man="1"/>
    <brk id="37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39994506668294322"/>
    <pageSetUpPr fitToPage="1"/>
  </sheetPr>
  <dimension ref="A1:G32"/>
  <sheetViews>
    <sheetView view="pageBreakPreview" topLeftCell="A5" zoomScale="115" zoomScaleNormal="140" workbookViewId="0">
      <selection activeCell="B9" sqref="B9"/>
    </sheetView>
  </sheetViews>
  <sheetFormatPr defaultColWidth="9.140625" defaultRowHeight="14.25"/>
  <cols>
    <col min="1" max="1" width="9.140625" style="133"/>
    <col min="2" max="2" width="36.5703125" style="133" customWidth="1"/>
    <col min="3" max="3" width="25" style="133" customWidth="1"/>
    <col min="4" max="4" width="13" style="133" customWidth="1"/>
    <col min="5" max="5" width="29.5703125" style="133" customWidth="1"/>
    <col min="6" max="6" width="15.42578125" style="133" customWidth="1"/>
    <col min="7" max="7" width="17.42578125" style="133" customWidth="1"/>
    <col min="8" max="16384" width="9.140625" style="133"/>
  </cols>
  <sheetData>
    <row r="1" spans="1:7" ht="15.75">
      <c r="A1" s="646" t="s">
        <v>295</v>
      </c>
      <c r="B1" s="647"/>
      <c r="C1" s="647"/>
      <c r="D1" s="647"/>
      <c r="E1" s="647"/>
      <c r="F1" s="647"/>
      <c r="G1" s="648"/>
    </row>
    <row r="2" spans="1:7" ht="15">
      <c r="A2" s="134"/>
      <c r="B2" s="135"/>
      <c r="C2" s="645"/>
      <c r="D2" s="645"/>
      <c r="E2" s="645"/>
      <c r="F2" s="136"/>
      <c r="G2" s="137" t="s">
        <v>296</v>
      </c>
    </row>
    <row r="3" spans="1:7" ht="15">
      <c r="A3" s="649" t="s">
        <v>297</v>
      </c>
      <c r="B3" s="650"/>
      <c r="C3" s="645"/>
      <c r="D3" s="645"/>
      <c r="E3" s="645"/>
      <c r="F3" s="138" t="s">
        <v>298</v>
      </c>
      <c r="G3" s="137" t="s">
        <v>299</v>
      </c>
    </row>
    <row r="4" spans="1:7">
      <c r="A4" s="134"/>
      <c r="B4" s="135"/>
      <c r="C4" s="645"/>
      <c r="D4" s="645"/>
      <c r="E4" s="645"/>
      <c r="F4" s="139"/>
      <c r="G4" s="140"/>
    </row>
    <row r="5" spans="1:7" ht="21" customHeight="1">
      <c r="A5" s="141" t="s">
        <v>300</v>
      </c>
      <c r="B5" s="141"/>
      <c r="C5" s="141"/>
      <c r="D5" s="141"/>
      <c r="E5" s="141"/>
      <c r="F5" s="142"/>
      <c r="G5" s="143">
        <f>G6+G9</f>
        <v>2114.8000000000002</v>
      </c>
    </row>
    <row r="6" spans="1:7" ht="15">
      <c r="A6" s="144" t="s">
        <v>301</v>
      </c>
      <c r="B6" s="145" t="s">
        <v>302</v>
      </c>
      <c r="C6" s="146" t="s">
        <v>230</v>
      </c>
      <c r="D6" s="146" t="s">
        <v>303</v>
      </c>
      <c r="E6" s="146" t="s">
        <v>201</v>
      </c>
      <c r="F6" s="147"/>
      <c r="G6" s="148">
        <f>G7+G8</f>
        <v>1597.68</v>
      </c>
    </row>
    <row r="7" spans="1:7" ht="28.5" customHeight="1">
      <c r="A7" s="149" t="s">
        <v>304</v>
      </c>
      <c r="B7" s="150" t="str">
        <f>'Preços Insumos e Serviços'!B44</f>
        <v>ENGENHEIRO CIVIL PLENO COM ENCARGOS COMPLEMENTARES</v>
      </c>
      <c r="C7" s="151" t="str">
        <f>'Preços Insumos e Serviços'!E44</f>
        <v>H</v>
      </c>
      <c r="D7" s="152">
        <v>8</v>
      </c>
      <c r="E7" s="151">
        <f>'Preços Insumos e Serviços'!D44</f>
        <v>2707</v>
      </c>
      <c r="F7" s="153">
        <f>'Preços Insumos e Serviços'!F44</f>
        <v>122.31</v>
      </c>
      <c r="G7" s="154">
        <f>F7*D7</f>
        <v>978.48</v>
      </c>
    </row>
    <row r="8" spans="1:7" ht="28.5">
      <c r="A8" s="149" t="s">
        <v>305</v>
      </c>
      <c r="B8" s="150" t="str">
        <f>'Preços Insumos e Serviços'!B57</f>
        <v>TOPÓGRAFO COM ENCARGOS COMPLEMENTARES</v>
      </c>
      <c r="C8" s="151" t="str">
        <f>'Preços Insumos e Serviços'!E57</f>
        <v>H</v>
      </c>
      <c r="D8" s="152">
        <v>16</v>
      </c>
      <c r="E8" s="151">
        <f>'Preços Insumos e Serviços'!D57</f>
        <v>90781</v>
      </c>
      <c r="F8" s="153">
        <f>'Preços Insumos e Serviços'!F57</f>
        <v>38.700000000000003</v>
      </c>
      <c r="G8" s="154">
        <f>F8*D8</f>
        <v>619.20000000000005</v>
      </c>
    </row>
    <row r="9" spans="1:7" ht="15">
      <c r="A9" s="149" t="s">
        <v>306</v>
      </c>
      <c r="B9" s="145" t="s">
        <v>307</v>
      </c>
      <c r="C9" s="155"/>
      <c r="D9" s="156"/>
      <c r="E9" s="155"/>
      <c r="F9" s="155"/>
      <c r="G9" s="148">
        <f>G10+G11</f>
        <v>517.12</v>
      </c>
    </row>
    <row r="10" spans="1:7" ht="28.5">
      <c r="A10" s="149" t="s">
        <v>308</v>
      </c>
      <c r="B10" s="150" t="str">
        <f>'Preços Insumos e Serviços'!B36</f>
        <v>AUXILIAR DE TOPÓGRAFO COM ENCARGOS COMPLEMENTARES</v>
      </c>
      <c r="C10" s="151" t="str">
        <f>'Preços Insumos e Serviços'!E36</f>
        <v>H</v>
      </c>
      <c r="D10" s="152">
        <v>16</v>
      </c>
      <c r="E10" s="151">
        <f>'Preços Insumos e Serviços'!D36</f>
        <v>88253</v>
      </c>
      <c r="F10" s="153">
        <f>'Preços Insumos e Serviços'!F36</f>
        <v>18.600000000000001</v>
      </c>
      <c r="G10" s="154">
        <f>F10*D10</f>
        <v>297.60000000000002</v>
      </c>
    </row>
    <row r="11" spans="1:7" ht="28.5">
      <c r="A11" s="149" t="s">
        <v>309</v>
      </c>
      <c r="B11" s="150" t="str">
        <f>'Preços Insumos e Serviços'!B41</f>
        <v>DESENHISTA PROJETISTA (HORISTA)</v>
      </c>
      <c r="C11" s="151" t="str">
        <f>'Preços Insumos e Serviços'!E41</f>
        <v>H</v>
      </c>
      <c r="D11" s="152">
        <v>8</v>
      </c>
      <c r="E11" s="151">
        <f>'Preços Insumos e Serviços'!D41</f>
        <v>2358</v>
      </c>
      <c r="F11" s="153">
        <f>'Preços Insumos e Serviços'!F41</f>
        <v>27.44</v>
      </c>
      <c r="G11" s="154">
        <f>F11*D11</f>
        <v>219.52</v>
      </c>
    </row>
    <row r="12" spans="1:7" ht="15.75">
      <c r="A12" s="141" t="s">
        <v>310</v>
      </c>
      <c r="B12" s="141"/>
      <c r="C12" s="141"/>
      <c r="D12" s="141"/>
      <c r="E12" s="141"/>
      <c r="F12" s="157"/>
      <c r="G12" s="143">
        <f>G13</f>
        <v>0</v>
      </c>
    </row>
    <row r="13" spans="1:7" ht="15">
      <c r="A13" s="144" t="s">
        <v>311</v>
      </c>
      <c r="B13" s="158" t="str">
        <f>CONCATENATE("Taxas ",'[13]ENC. SOCIAIS'!E51,"%")</f>
        <v>Taxas 115,15%</v>
      </c>
      <c r="C13" s="158" t="s">
        <v>312</v>
      </c>
      <c r="D13" s="158"/>
      <c r="E13" s="158"/>
      <c r="F13" s="159"/>
      <c r="G13" s="154"/>
    </row>
    <row r="14" spans="1:7" ht="15.75">
      <c r="A14" s="651" t="s">
        <v>313</v>
      </c>
      <c r="B14" s="651"/>
      <c r="C14" s="160"/>
      <c r="D14" s="160"/>
      <c r="E14" s="160"/>
      <c r="F14" s="157"/>
      <c r="G14" s="143">
        <f>G15+G16+G17+G18</f>
        <v>958.37400000000002</v>
      </c>
    </row>
    <row r="15" spans="1:7" ht="60.75" customHeight="1">
      <c r="A15" s="144" t="s">
        <v>314</v>
      </c>
      <c r="B15" s="150" t="s">
        <v>315</v>
      </c>
      <c r="C15" s="161" t="s">
        <v>316</v>
      </c>
      <c r="D15" s="162">
        <v>0.03</v>
      </c>
      <c r="E15" s="162"/>
      <c r="F15" s="159">
        <f>G5+G13</f>
        <v>2114.8000000000002</v>
      </c>
      <c r="G15" s="154">
        <f>F15*D15</f>
        <v>63.444000000000003</v>
      </c>
    </row>
    <row r="16" spans="1:7" ht="57">
      <c r="A16" s="144" t="s">
        <v>317</v>
      </c>
      <c r="B16" s="150" t="str">
        <f>'Preços Insumos e Serviços'!B38</f>
        <v>CAMINHONETE CABINE SIMPLES COM MOTOR 1.6 FLEX, CÂMBIO MANUAL, POTÊNCIA 101/104 CV, 2 PORTAS</v>
      </c>
      <c r="C16" s="151" t="str">
        <f>'Preços Insumos e Serviços'!E38</f>
        <v>H</v>
      </c>
      <c r="D16" s="151">
        <v>16</v>
      </c>
      <c r="E16" s="151">
        <f>'Preços Insumos e Serviços'!D38</f>
        <v>92144</v>
      </c>
      <c r="F16" s="163">
        <f>'Preços Insumos e Serviços'!F38</f>
        <v>41.54</v>
      </c>
      <c r="G16" s="154">
        <f>F16*D16</f>
        <v>664.64</v>
      </c>
    </row>
    <row r="17" spans="1:7" ht="15">
      <c r="A17" s="144" t="s">
        <v>318</v>
      </c>
      <c r="B17" s="150" t="str">
        <f>'Preços Insumos e Serviços'!B45</f>
        <v>GASOLINA COMUM</v>
      </c>
      <c r="C17" s="151" t="str">
        <f>'Preços Insumos e Serviços'!E45</f>
        <v>L</v>
      </c>
      <c r="D17" s="151">
        <v>25</v>
      </c>
      <c r="E17" s="151">
        <f>'Preços Insumos e Serviços'!D45</f>
        <v>4222</v>
      </c>
      <c r="F17" s="163">
        <f>'Preços Insumos e Serviços'!F45</f>
        <v>6.21</v>
      </c>
      <c r="G17" s="154">
        <f>F17*D17</f>
        <v>155.25</v>
      </c>
    </row>
    <row r="18" spans="1:7" ht="28.5">
      <c r="A18" s="144" t="s">
        <v>319</v>
      </c>
      <c r="B18" s="150" t="str">
        <f>'Preços Insumos e Serviços'!B66</f>
        <v>Estação total eletrônica com alcance máximo de 3.000 m - SICRO</v>
      </c>
      <c r="C18" s="151" t="str">
        <f>'Preços Insumos e Serviços'!E66</f>
        <v>CHP</v>
      </c>
      <c r="D18" s="151">
        <v>16</v>
      </c>
      <c r="E18" s="151" t="str">
        <f>'Preços Insumos e Serviços'!D66</f>
        <v>14094/ORSE</v>
      </c>
      <c r="F18" s="163">
        <f>'Preços Insumos e Serviços'!F66</f>
        <v>4.6900000000000004</v>
      </c>
      <c r="G18" s="154">
        <f>F18*D18</f>
        <v>75.040000000000006</v>
      </c>
    </row>
    <row r="19" spans="1:7" ht="15">
      <c r="A19" s="642" t="s">
        <v>320</v>
      </c>
      <c r="B19" s="642"/>
      <c r="C19" s="164"/>
      <c r="D19" s="164"/>
      <c r="E19" s="165"/>
      <c r="F19" s="166"/>
      <c r="G19" s="167">
        <f>ROUND(G5+G12+G14,2)</f>
        <v>3073.17</v>
      </c>
    </row>
    <row r="20" spans="1:7" ht="15">
      <c r="A20" s="643" t="s">
        <v>321</v>
      </c>
      <c r="B20" s="643"/>
      <c r="C20" s="168"/>
      <c r="D20" s="162">
        <v>0.2339</v>
      </c>
      <c r="E20" s="151"/>
      <c r="F20" s="169"/>
      <c r="G20" s="154">
        <f>D20*G19</f>
        <v>718.81446300000005</v>
      </c>
    </row>
    <row r="21" spans="1:7" ht="15">
      <c r="A21" s="642" t="s">
        <v>322</v>
      </c>
      <c r="B21" s="642"/>
      <c r="C21" s="164"/>
      <c r="D21" s="164"/>
      <c r="E21" s="165"/>
      <c r="F21" s="166"/>
      <c r="G21" s="167">
        <f>SUM(G19:G20)</f>
        <v>3791.9844629999998</v>
      </c>
    </row>
    <row r="22" spans="1:7" ht="15">
      <c r="A22" s="643" t="s">
        <v>323</v>
      </c>
      <c r="B22" s="643"/>
      <c r="C22" s="158" t="s">
        <v>324</v>
      </c>
      <c r="D22" s="162">
        <v>2.5000000000000001E-2</v>
      </c>
      <c r="E22" s="162"/>
      <c r="F22" s="169">
        <f>G21</f>
        <v>3791.9844629999998</v>
      </c>
      <c r="G22" s="154">
        <f>F22*D22</f>
        <v>94.799611575</v>
      </c>
    </row>
    <row r="23" spans="1:7" ht="15">
      <c r="A23" s="643" t="s">
        <v>325</v>
      </c>
      <c r="B23" s="643"/>
      <c r="C23" s="158" t="s">
        <v>326</v>
      </c>
      <c r="D23" s="162">
        <v>3.7400000000000003E-2</v>
      </c>
      <c r="E23" s="162"/>
      <c r="F23" s="169">
        <f>D23*G22</f>
        <v>3.545505472905</v>
      </c>
      <c r="G23" s="170">
        <f>F23</f>
        <v>3.545505472905</v>
      </c>
    </row>
    <row r="24" spans="1:7" ht="15">
      <c r="A24" s="643" t="s">
        <v>327</v>
      </c>
      <c r="B24" s="643"/>
      <c r="C24" s="158"/>
      <c r="D24" s="151"/>
      <c r="E24" s="151"/>
      <c r="F24" s="169"/>
      <c r="G24" s="154"/>
    </row>
    <row r="25" spans="1:7" ht="15">
      <c r="A25" s="158"/>
      <c r="B25" s="158" t="s">
        <v>328</v>
      </c>
      <c r="C25" s="158"/>
      <c r="D25" s="162">
        <v>4.7500000000000001E-2</v>
      </c>
      <c r="E25" s="162"/>
      <c r="F25" s="169">
        <f>D25*F23</f>
        <v>0.16841150996298801</v>
      </c>
      <c r="G25" s="170">
        <f>F25</f>
        <v>0.16841150996298801</v>
      </c>
    </row>
    <row r="26" spans="1:7" ht="15">
      <c r="A26" s="643" t="s">
        <v>329</v>
      </c>
      <c r="B26" s="643"/>
      <c r="C26" s="168"/>
      <c r="D26" s="162">
        <v>5.7700000000000001E-2</v>
      </c>
      <c r="E26" s="162"/>
      <c r="F26" s="169">
        <f>F22</f>
        <v>3791.9844629999998</v>
      </c>
      <c r="G26" s="154">
        <f>F26*D26</f>
        <v>218.7975035151</v>
      </c>
    </row>
    <row r="27" spans="1:7" ht="15">
      <c r="A27" s="642" t="s">
        <v>330</v>
      </c>
      <c r="B27" s="642"/>
      <c r="C27" s="164"/>
      <c r="D27" s="164"/>
      <c r="E27" s="165"/>
      <c r="F27" s="166"/>
      <c r="G27" s="167">
        <f>SUM(G22:G26)</f>
        <v>317.31103207296798</v>
      </c>
    </row>
    <row r="28" spans="1:7" ht="15">
      <c r="A28" s="643" t="s">
        <v>331</v>
      </c>
      <c r="B28" s="643"/>
      <c r="C28" s="168"/>
      <c r="D28" s="162">
        <f>D20</f>
        <v>0.2339</v>
      </c>
      <c r="E28" s="162"/>
      <c r="F28" s="169"/>
      <c r="G28" s="154">
        <f>D28*G27</f>
        <v>74.219050401867193</v>
      </c>
    </row>
    <row r="29" spans="1:7" ht="15">
      <c r="A29" s="642" t="s">
        <v>332</v>
      </c>
      <c r="B29" s="642"/>
      <c r="C29" s="164"/>
      <c r="D29" s="164"/>
      <c r="E29" s="164"/>
      <c r="F29" s="166"/>
      <c r="G29" s="167">
        <f>SUM(G27:G28)</f>
        <v>391.53008247483501</v>
      </c>
    </row>
    <row r="30" spans="1:7" ht="15">
      <c r="A30" s="644" t="s">
        <v>333</v>
      </c>
      <c r="B30" s="644"/>
      <c r="C30" s="171"/>
      <c r="D30" s="171"/>
      <c r="E30" s="171"/>
      <c r="F30" s="172"/>
      <c r="G30" s="167">
        <f>G29+G21</f>
        <v>4183.5145454748399</v>
      </c>
    </row>
    <row r="31" spans="1:7">
      <c r="A31" s="135"/>
      <c r="B31" s="135"/>
      <c r="C31" s="135"/>
      <c r="D31" s="135"/>
      <c r="E31" s="135"/>
      <c r="F31" s="136"/>
      <c r="G31" s="136"/>
    </row>
    <row r="32" spans="1:7" ht="15">
      <c r="A32" s="135"/>
      <c r="B32" s="135"/>
      <c r="C32" s="135"/>
      <c r="D32" s="135"/>
      <c r="E32" s="135"/>
      <c r="F32" s="173" t="s">
        <v>334</v>
      </c>
      <c r="G32" s="174">
        <f>ROUND(G30/(6*40),2)</f>
        <v>17.43</v>
      </c>
    </row>
  </sheetData>
  <mergeCells count="15">
    <mergeCell ref="A1:G1"/>
    <mergeCell ref="A3:B3"/>
    <mergeCell ref="A14:B14"/>
    <mergeCell ref="A19:B19"/>
    <mergeCell ref="A20:B20"/>
    <mergeCell ref="A27:B27"/>
    <mergeCell ref="A28:B28"/>
    <mergeCell ref="A29:B29"/>
    <mergeCell ref="A30:B30"/>
    <mergeCell ref="C2:E4"/>
    <mergeCell ref="A21:B21"/>
    <mergeCell ref="A22:B22"/>
    <mergeCell ref="A23:B23"/>
    <mergeCell ref="A24:B24"/>
    <mergeCell ref="A26:B26"/>
  </mergeCells>
  <pageMargins left="0.78740157480314998" right="0.78740157480314998" top="0.78740157480314998" bottom="0.78740157480314998" header="0.511811023622047" footer="0.511811023622047"/>
  <pageSetup paperSize="9" scale="7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39994506668294322"/>
    <pageSetUpPr fitToPage="1"/>
  </sheetPr>
  <dimension ref="B1:J68"/>
  <sheetViews>
    <sheetView view="pageBreakPreview" topLeftCell="A35" zoomScaleNormal="115" workbookViewId="0">
      <selection activeCell="F76" sqref="F76"/>
    </sheetView>
  </sheetViews>
  <sheetFormatPr defaultColWidth="9.140625" defaultRowHeight="12.75"/>
  <cols>
    <col min="1" max="1" width="3.85546875" style="119" customWidth="1"/>
    <col min="2" max="2" width="66.28515625" style="119" customWidth="1"/>
    <col min="3" max="3" width="13.85546875" style="120" customWidth="1"/>
    <col min="4" max="4" width="16" style="120" customWidth="1"/>
    <col min="5" max="5" width="10.28515625" style="120" customWidth="1"/>
    <col min="6" max="6" width="18.85546875" style="120" customWidth="1"/>
    <col min="7" max="7" width="19.28515625" style="120" customWidth="1"/>
    <col min="8" max="16384" width="9.140625" style="119"/>
  </cols>
  <sheetData>
    <row r="1" spans="2:10" ht="45.75" customHeight="1">
      <c r="B1" s="652" t="s">
        <v>15</v>
      </c>
      <c r="C1" s="653"/>
      <c r="D1" s="653"/>
      <c r="E1" s="654"/>
      <c r="F1" s="655"/>
      <c r="G1" s="656"/>
    </row>
    <row r="3" spans="2:10" ht="27.75" customHeight="1">
      <c r="B3" s="121" t="s">
        <v>335</v>
      </c>
      <c r="C3" s="122" t="s">
        <v>336</v>
      </c>
      <c r="D3" s="122" t="s">
        <v>21</v>
      </c>
      <c r="E3" s="122" t="s">
        <v>337</v>
      </c>
      <c r="F3" s="122" t="s">
        <v>338</v>
      </c>
      <c r="G3" s="122" t="s">
        <v>339</v>
      </c>
      <c r="H3" s="123"/>
    </row>
    <row r="4" spans="2:10" ht="32.25" customHeight="1">
      <c r="B4" s="124" t="s">
        <v>340</v>
      </c>
      <c r="C4" s="125" t="s">
        <v>341</v>
      </c>
      <c r="D4" s="125">
        <v>1109669</v>
      </c>
      <c r="E4" s="125" t="s">
        <v>342</v>
      </c>
      <c r="F4" s="126">
        <v>529.15</v>
      </c>
      <c r="G4" s="126"/>
      <c r="H4" s="123"/>
    </row>
    <row r="5" spans="2:10" ht="33.75" customHeight="1">
      <c r="B5" s="124" t="s">
        <v>343</v>
      </c>
      <c r="C5" s="125" t="s">
        <v>341</v>
      </c>
      <c r="D5" s="125">
        <v>407819</v>
      </c>
      <c r="E5" s="125" t="s">
        <v>344</v>
      </c>
      <c r="F5" s="126">
        <v>12.09</v>
      </c>
      <c r="G5" s="126"/>
      <c r="H5" s="123"/>
    </row>
    <row r="6" spans="2:10" ht="36" customHeight="1">
      <c r="B6" s="124" t="s">
        <v>345</v>
      </c>
      <c r="C6" s="125" t="s">
        <v>341</v>
      </c>
      <c r="D6" s="125" t="s">
        <v>346</v>
      </c>
      <c r="E6" s="125" t="s">
        <v>347</v>
      </c>
      <c r="F6" s="126">
        <v>308.99459999999999</v>
      </c>
      <c r="G6" s="126">
        <v>94.444500000000005</v>
      </c>
      <c r="H6" s="123"/>
    </row>
    <row r="7" spans="2:10" ht="18.75" customHeight="1">
      <c r="B7" s="124" t="s">
        <v>348</v>
      </c>
      <c r="C7" s="125" t="s">
        <v>341</v>
      </c>
      <c r="D7" s="125" t="s">
        <v>349</v>
      </c>
      <c r="E7" s="125" t="s">
        <v>347</v>
      </c>
      <c r="F7" s="126">
        <v>307.86239999999998</v>
      </c>
      <c r="G7" s="126">
        <v>93.850200000000001</v>
      </c>
      <c r="H7" s="123"/>
    </row>
    <row r="8" spans="2:10" ht="18" customHeight="1">
      <c r="B8" s="124" t="s">
        <v>350</v>
      </c>
      <c r="C8" s="125" t="s">
        <v>341</v>
      </c>
      <c r="D8" s="125" t="s">
        <v>351</v>
      </c>
      <c r="E8" s="125" t="s">
        <v>347</v>
      </c>
      <c r="F8" s="127">
        <v>148.93690000000001</v>
      </c>
      <c r="G8" s="126">
        <v>61.570099999999996</v>
      </c>
      <c r="H8" s="123"/>
    </row>
    <row r="9" spans="2:10" ht="20.25" customHeight="1">
      <c r="B9" s="124" t="s">
        <v>352</v>
      </c>
      <c r="C9" s="125" t="s">
        <v>341</v>
      </c>
      <c r="D9" s="125" t="s">
        <v>353</v>
      </c>
      <c r="E9" s="125" t="s">
        <v>347</v>
      </c>
      <c r="F9" s="126">
        <v>318.8494</v>
      </c>
      <c r="G9" s="126">
        <v>129.3117</v>
      </c>
      <c r="H9" s="123"/>
      <c r="J9" s="2"/>
    </row>
    <row r="10" spans="2:10" ht="24" customHeight="1">
      <c r="B10" s="124" t="s">
        <v>354</v>
      </c>
      <c r="C10" s="125" t="s">
        <v>341</v>
      </c>
      <c r="D10" s="125" t="s">
        <v>355</v>
      </c>
      <c r="E10" s="125" t="s">
        <v>347</v>
      </c>
      <c r="F10" s="126">
        <v>323.59980000000002</v>
      </c>
      <c r="G10" s="126">
        <v>85.142399999999995</v>
      </c>
      <c r="H10" s="123"/>
      <c r="J10" s="2"/>
    </row>
    <row r="11" spans="2:10" ht="22.5" customHeight="1">
      <c r="B11" s="124" t="s">
        <v>356</v>
      </c>
      <c r="C11" s="125" t="s">
        <v>341</v>
      </c>
      <c r="D11" s="125" t="s">
        <v>357</v>
      </c>
      <c r="E11" s="125" t="s">
        <v>347</v>
      </c>
      <c r="F11" s="126">
        <v>416.79379999999998</v>
      </c>
      <c r="G11" s="126">
        <v>132.61709999999999</v>
      </c>
      <c r="H11" s="123"/>
      <c r="I11" s="2"/>
    </row>
    <row r="12" spans="2:10" ht="22.5" customHeight="1">
      <c r="B12" s="124" t="s">
        <v>358</v>
      </c>
      <c r="C12" s="125" t="s">
        <v>341</v>
      </c>
      <c r="D12" s="125" t="s">
        <v>359</v>
      </c>
      <c r="E12" s="125" t="s">
        <v>347</v>
      </c>
      <c r="F12" s="126">
        <v>9.3991000000000007</v>
      </c>
      <c r="G12" s="126">
        <v>1.0451999999999999</v>
      </c>
      <c r="H12" s="123"/>
      <c r="I12" s="2"/>
    </row>
    <row r="13" spans="2:10" ht="31.5" customHeight="1">
      <c r="B13" s="124" t="s">
        <v>360</v>
      </c>
      <c r="C13" s="125" t="s">
        <v>341</v>
      </c>
      <c r="D13" s="125">
        <v>1107892</v>
      </c>
      <c r="E13" s="125" t="s">
        <v>342</v>
      </c>
      <c r="F13" s="126">
        <v>473.84</v>
      </c>
      <c r="G13" s="126"/>
      <c r="H13" s="123"/>
    </row>
    <row r="14" spans="2:10" ht="31.5" customHeight="1">
      <c r="B14" s="124" t="s">
        <v>112</v>
      </c>
      <c r="C14" s="125" t="s">
        <v>341</v>
      </c>
      <c r="D14" s="125">
        <v>1106057</v>
      </c>
      <c r="E14" s="125" t="s">
        <v>342</v>
      </c>
      <c r="F14" s="126">
        <v>460.57</v>
      </c>
      <c r="G14" s="126"/>
      <c r="H14" s="123"/>
    </row>
    <row r="15" spans="2:10" ht="33.75" customHeight="1">
      <c r="B15" s="124" t="s">
        <v>361</v>
      </c>
      <c r="C15" s="125" t="s">
        <v>341</v>
      </c>
      <c r="D15" s="125" t="s">
        <v>362</v>
      </c>
      <c r="E15" s="125" t="s">
        <v>344</v>
      </c>
      <c r="F15" s="126">
        <v>29.837900000000001</v>
      </c>
      <c r="G15" s="126"/>
      <c r="H15" s="123"/>
    </row>
    <row r="16" spans="2:10" ht="34.5" customHeight="1">
      <c r="B16" s="124" t="s">
        <v>290</v>
      </c>
      <c r="C16" s="125" t="s">
        <v>341</v>
      </c>
      <c r="D16" s="125">
        <v>5914655</v>
      </c>
      <c r="E16" s="125" t="s">
        <v>363</v>
      </c>
      <c r="F16" s="126">
        <v>33.18</v>
      </c>
      <c r="G16" s="126"/>
      <c r="H16" s="123"/>
    </row>
    <row r="17" spans="2:10" ht="20.25" customHeight="1">
      <c r="B17" s="124" t="s">
        <v>364</v>
      </c>
      <c r="C17" s="125" t="s">
        <v>341</v>
      </c>
      <c r="D17" s="125">
        <v>4805750</v>
      </c>
      <c r="E17" s="125" t="s">
        <v>342</v>
      </c>
      <c r="F17" s="126">
        <v>45.74</v>
      </c>
      <c r="G17" s="126"/>
      <c r="H17" s="123"/>
    </row>
    <row r="18" spans="2:10" ht="34.5" customHeight="1">
      <c r="B18" s="124" t="s">
        <v>365</v>
      </c>
      <c r="C18" s="125" t="s">
        <v>341</v>
      </c>
      <c r="D18" s="125" t="s">
        <v>366</v>
      </c>
      <c r="E18" s="125" t="s">
        <v>342</v>
      </c>
      <c r="F18" s="126">
        <v>292.88569999999999</v>
      </c>
      <c r="G18" s="126">
        <v>135.52029999999999</v>
      </c>
      <c r="H18" s="123"/>
      <c r="J18" s="2"/>
    </row>
    <row r="19" spans="2:10" ht="35.25" customHeight="1">
      <c r="B19" s="124" t="s">
        <v>367</v>
      </c>
      <c r="C19" s="125" t="s">
        <v>341</v>
      </c>
      <c r="D19" s="125">
        <v>3103302</v>
      </c>
      <c r="E19" s="125" t="s">
        <v>186</v>
      </c>
      <c r="F19" s="126">
        <v>83.4</v>
      </c>
      <c r="G19" s="126"/>
      <c r="H19" s="123"/>
    </row>
    <row r="20" spans="2:10" ht="18.75" customHeight="1">
      <c r="B20" s="124" t="s">
        <v>368</v>
      </c>
      <c r="C20" s="125" t="s">
        <v>341</v>
      </c>
      <c r="D20" s="125" t="s">
        <v>369</v>
      </c>
      <c r="E20" s="125" t="s">
        <v>347</v>
      </c>
      <c r="F20" s="126">
        <v>5.0206999999999997</v>
      </c>
      <c r="G20" s="126">
        <v>3.4963000000000002</v>
      </c>
      <c r="H20" s="123"/>
      <c r="I20" s="2"/>
    </row>
    <row r="21" spans="2:10" ht="19.5" customHeight="1">
      <c r="B21" s="124" t="s">
        <v>370</v>
      </c>
      <c r="C21" s="125" t="s">
        <v>341</v>
      </c>
      <c r="D21" s="125" t="s">
        <v>371</v>
      </c>
      <c r="E21" s="125" t="s">
        <v>347</v>
      </c>
      <c r="F21" s="126">
        <v>31.211500000000001</v>
      </c>
      <c r="G21" s="126"/>
      <c r="H21" s="123"/>
    </row>
    <row r="22" spans="2:10" ht="19.5" customHeight="1">
      <c r="B22" s="124" t="s">
        <v>372</v>
      </c>
      <c r="C22" s="125" t="s">
        <v>341</v>
      </c>
      <c r="D22" s="125" t="s">
        <v>373</v>
      </c>
      <c r="E22" s="125" t="s">
        <v>347</v>
      </c>
      <c r="F22" s="128">
        <v>292.96100000000001</v>
      </c>
      <c r="G22" s="128">
        <v>131.59530000000001</v>
      </c>
      <c r="H22" s="123"/>
      <c r="I22" s="2"/>
    </row>
    <row r="23" spans="2:10" ht="20.25" customHeight="1">
      <c r="B23" s="124" t="s">
        <v>374</v>
      </c>
      <c r="C23" s="125" t="s">
        <v>341</v>
      </c>
      <c r="D23" s="125" t="s">
        <v>254</v>
      </c>
      <c r="E23" s="125" t="s">
        <v>342</v>
      </c>
      <c r="F23" s="126">
        <v>133.7893</v>
      </c>
      <c r="G23" s="126"/>
      <c r="H23" s="123"/>
    </row>
    <row r="24" spans="2:10" ht="18" customHeight="1">
      <c r="B24" s="124" t="s">
        <v>375</v>
      </c>
      <c r="C24" s="125" t="s">
        <v>341</v>
      </c>
      <c r="D24" s="125">
        <v>5914647</v>
      </c>
      <c r="E24" s="125" t="s">
        <v>363</v>
      </c>
      <c r="F24" s="126">
        <v>1.82</v>
      </c>
      <c r="G24" s="126"/>
      <c r="H24" s="123"/>
    </row>
    <row r="25" spans="2:10" ht="30.75" customHeight="1">
      <c r="B25" s="124" t="s">
        <v>376</v>
      </c>
      <c r="C25" s="125" t="s">
        <v>341</v>
      </c>
      <c r="D25" s="125">
        <v>5213452</v>
      </c>
      <c r="E25" s="125" t="s">
        <v>287</v>
      </c>
      <c r="F25" s="126">
        <v>248.13</v>
      </c>
      <c r="G25" s="126"/>
      <c r="H25" s="123"/>
    </row>
    <row r="26" spans="2:10" ht="19.5" customHeight="1">
      <c r="B26" s="124" t="s">
        <v>377</v>
      </c>
      <c r="C26" s="125" t="s">
        <v>341</v>
      </c>
      <c r="D26" s="125" t="s">
        <v>378</v>
      </c>
      <c r="E26" s="125" t="s">
        <v>347</v>
      </c>
      <c r="F26" s="126">
        <v>154.178</v>
      </c>
      <c r="G26" s="128">
        <v>81.404899999999998</v>
      </c>
      <c r="H26" s="123"/>
    </row>
    <row r="27" spans="2:10">
      <c r="B27" s="124" t="s">
        <v>379</v>
      </c>
      <c r="C27" s="125" t="s">
        <v>341</v>
      </c>
      <c r="D27" s="125" t="s">
        <v>380</v>
      </c>
      <c r="E27" s="125" t="s">
        <v>347</v>
      </c>
      <c r="F27" s="129">
        <v>261.44779999999997</v>
      </c>
      <c r="G27" s="128">
        <v>130.97460000000001</v>
      </c>
      <c r="H27" s="123"/>
    </row>
    <row r="28" spans="2:10" ht="29.25" customHeight="1">
      <c r="B28" s="124" t="s">
        <v>381</v>
      </c>
      <c r="C28" s="125" t="s">
        <v>341</v>
      </c>
      <c r="D28" s="125" t="s">
        <v>382</v>
      </c>
      <c r="E28" s="125" t="s">
        <v>347</v>
      </c>
      <c r="F28" s="130">
        <v>225.6386</v>
      </c>
      <c r="G28" s="128">
        <v>104.73560000000001</v>
      </c>
    </row>
    <row r="29" spans="2:10" ht="18" customHeight="1">
      <c r="B29" s="124" t="s">
        <v>383</v>
      </c>
      <c r="C29" s="125" t="s">
        <v>341</v>
      </c>
      <c r="D29" s="125" t="s">
        <v>384</v>
      </c>
      <c r="E29" s="125" t="s">
        <v>344</v>
      </c>
      <c r="F29" s="126">
        <v>29.636199999999999</v>
      </c>
      <c r="G29" s="126"/>
      <c r="H29" s="123"/>
    </row>
    <row r="30" spans="2:10" ht="30.75" customHeight="1">
      <c r="B30" s="124" t="s">
        <v>138</v>
      </c>
      <c r="C30" s="125" t="s">
        <v>341</v>
      </c>
      <c r="D30" s="125">
        <v>5213863</v>
      </c>
      <c r="E30" s="125" t="s">
        <v>287</v>
      </c>
      <c r="F30" s="126">
        <v>459.11</v>
      </c>
      <c r="G30" s="126"/>
      <c r="H30" s="123"/>
    </row>
    <row r="31" spans="2:10" ht="18" customHeight="1">
      <c r="B31" s="124" t="s">
        <v>385</v>
      </c>
      <c r="C31" s="125" t="s">
        <v>341</v>
      </c>
      <c r="D31" s="125" t="s">
        <v>386</v>
      </c>
      <c r="E31" s="125" t="s">
        <v>347</v>
      </c>
      <c r="F31" s="129">
        <v>157.58260000000001</v>
      </c>
      <c r="G31" s="128">
        <v>62.240499999999997</v>
      </c>
      <c r="H31" s="123"/>
    </row>
    <row r="32" spans="2:10" ht="18.75" customHeight="1">
      <c r="B32" s="124" t="s">
        <v>387</v>
      </c>
      <c r="C32" s="125" t="s">
        <v>341</v>
      </c>
      <c r="D32" s="125" t="s">
        <v>263</v>
      </c>
      <c r="E32" s="125" t="s">
        <v>189</v>
      </c>
      <c r="F32" s="126">
        <v>185.25</v>
      </c>
      <c r="G32" s="126"/>
      <c r="H32" s="123"/>
    </row>
    <row r="33" spans="2:8">
      <c r="B33" s="123"/>
      <c r="C33" s="131"/>
      <c r="D33" s="131"/>
      <c r="E33" s="131"/>
      <c r="F33" s="132"/>
      <c r="G33" s="132"/>
      <c r="H33" s="123"/>
    </row>
    <row r="34" spans="2:8" ht="25.5">
      <c r="B34" s="121" t="s">
        <v>388</v>
      </c>
      <c r="C34" s="122" t="s">
        <v>336</v>
      </c>
      <c r="D34" s="122" t="s">
        <v>21</v>
      </c>
      <c r="E34" s="122" t="s">
        <v>337</v>
      </c>
      <c r="F34" s="122" t="s">
        <v>389</v>
      </c>
      <c r="G34" s="132"/>
      <c r="H34" s="123"/>
    </row>
    <row r="35" spans="2:8" ht="30.75" customHeight="1">
      <c r="B35" s="124" t="s">
        <v>390</v>
      </c>
      <c r="C35" s="125" t="s">
        <v>391</v>
      </c>
      <c r="D35" s="125">
        <v>370</v>
      </c>
      <c r="E35" s="125" t="s">
        <v>342</v>
      </c>
      <c r="F35" s="126">
        <v>117.45</v>
      </c>
      <c r="G35" s="132"/>
      <c r="H35" s="123"/>
    </row>
    <row r="36" spans="2:8" ht="20.25" customHeight="1">
      <c r="B36" s="124" t="s">
        <v>392</v>
      </c>
      <c r="C36" s="125" t="s">
        <v>391</v>
      </c>
      <c r="D36" s="125">
        <v>88253</v>
      </c>
      <c r="E36" s="125" t="s">
        <v>347</v>
      </c>
      <c r="F36" s="126">
        <v>18.600000000000001</v>
      </c>
      <c r="G36" s="132"/>
      <c r="H36" s="123"/>
    </row>
    <row r="37" spans="2:8" ht="42.75" customHeight="1">
      <c r="B37" s="124" t="s">
        <v>393</v>
      </c>
      <c r="C37" s="125" t="s">
        <v>391</v>
      </c>
      <c r="D37" s="125">
        <v>87445</v>
      </c>
      <c r="E37" s="125" t="s">
        <v>347</v>
      </c>
      <c r="F37" s="126">
        <v>5.31</v>
      </c>
      <c r="G37" s="132"/>
      <c r="H37" s="123"/>
    </row>
    <row r="38" spans="2:8" ht="33" customHeight="1">
      <c r="B38" s="124" t="s">
        <v>394</v>
      </c>
      <c r="C38" s="125" t="s">
        <v>391</v>
      </c>
      <c r="D38" s="125">
        <v>92144</v>
      </c>
      <c r="E38" s="125" t="s">
        <v>347</v>
      </c>
      <c r="F38" s="126">
        <v>41.54</v>
      </c>
      <c r="G38" s="132"/>
      <c r="H38" s="123"/>
    </row>
    <row r="39" spans="2:8" ht="21.75" customHeight="1">
      <c r="B39" s="124" t="s">
        <v>395</v>
      </c>
      <c r="C39" s="125" t="s">
        <v>391</v>
      </c>
      <c r="D39" s="125">
        <v>88262</v>
      </c>
      <c r="E39" s="125" t="s">
        <v>347</v>
      </c>
      <c r="F39" s="126">
        <v>31.88</v>
      </c>
      <c r="G39" s="132"/>
      <c r="H39" s="123"/>
    </row>
    <row r="40" spans="2:8" ht="17.25" customHeight="1">
      <c r="B40" s="124" t="s">
        <v>396</v>
      </c>
      <c r="C40" s="125" t="s">
        <v>391</v>
      </c>
      <c r="D40" s="125">
        <v>1379</v>
      </c>
      <c r="E40" s="125" t="s">
        <v>344</v>
      </c>
      <c r="F40" s="126">
        <v>0.8</v>
      </c>
      <c r="G40" s="132"/>
      <c r="H40" s="123"/>
    </row>
    <row r="41" spans="2:8" ht="17.25" customHeight="1">
      <c r="B41" s="124" t="s">
        <v>397</v>
      </c>
      <c r="C41" s="125" t="s">
        <v>391</v>
      </c>
      <c r="D41" s="125">
        <v>2358</v>
      </c>
      <c r="E41" s="125" t="s">
        <v>347</v>
      </c>
      <c r="F41" s="126">
        <v>27.44</v>
      </c>
      <c r="G41" s="132"/>
      <c r="H41" s="123"/>
    </row>
    <row r="42" spans="2:8" ht="18.75" customHeight="1">
      <c r="B42" s="124" t="s">
        <v>398</v>
      </c>
      <c r="C42" s="125" t="s">
        <v>391</v>
      </c>
      <c r="D42" s="125">
        <v>90776</v>
      </c>
      <c r="E42" s="125" t="s">
        <v>347</v>
      </c>
      <c r="F42" s="126">
        <v>38.85</v>
      </c>
      <c r="G42" s="132"/>
      <c r="H42" s="123"/>
    </row>
    <row r="43" spans="2:8" ht="34.5" customHeight="1">
      <c r="B43" s="124" t="s">
        <v>399</v>
      </c>
      <c r="C43" s="125" t="s">
        <v>391</v>
      </c>
      <c r="D43" s="125">
        <v>90777</v>
      </c>
      <c r="E43" s="125" t="s">
        <v>347</v>
      </c>
      <c r="F43" s="126">
        <v>122.3</v>
      </c>
      <c r="G43" s="132"/>
      <c r="H43" s="123"/>
    </row>
    <row r="44" spans="2:8" ht="25.5" customHeight="1">
      <c r="B44" s="124" t="s">
        <v>400</v>
      </c>
      <c r="C44" s="125" t="s">
        <v>391</v>
      </c>
      <c r="D44" s="125">
        <v>2707</v>
      </c>
      <c r="E44" s="125" t="s">
        <v>347</v>
      </c>
      <c r="F44" s="126">
        <v>122.31</v>
      </c>
      <c r="G44" s="132"/>
      <c r="H44" s="123"/>
    </row>
    <row r="45" spans="2:8" ht="21.75" customHeight="1">
      <c r="B45" s="124" t="s">
        <v>401</v>
      </c>
      <c r="C45" s="125" t="s">
        <v>391</v>
      </c>
      <c r="D45" s="125">
        <v>4222</v>
      </c>
      <c r="E45" s="125" t="s">
        <v>402</v>
      </c>
      <c r="F45" s="126">
        <v>6.21</v>
      </c>
      <c r="G45" s="132"/>
      <c r="H45" s="123"/>
    </row>
    <row r="46" spans="2:8" ht="45.75" customHeight="1">
      <c r="B46" s="124" t="s">
        <v>403</v>
      </c>
      <c r="C46" s="125" t="s">
        <v>391</v>
      </c>
      <c r="D46" s="125">
        <v>99059</v>
      </c>
      <c r="E46" s="125" t="s">
        <v>189</v>
      </c>
      <c r="F46" s="126">
        <v>68.39</v>
      </c>
      <c r="G46" s="132"/>
      <c r="H46" s="123"/>
    </row>
    <row r="47" spans="2:8" ht="30.75" customHeight="1">
      <c r="B47" s="124" t="s">
        <v>404</v>
      </c>
      <c r="C47" s="125" t="s">
        <v>391</v>
      </c>
      <c r="D47" s="125">
        <v>4718</v>
      </c>
      <c r="E47" s="125" t="s">
        <v>342</v>
      </c>
      <c r="F47" s="126">
        <v>112.03</v>
      </c>
      <c r="G47" s="132"/>
      <c r="H47" s="123"/>
    </row>
    <row r="48" spans="2:8" ht="22.5" customHeight="1">
      <c r="B48" s="124" t="s">
        <v>405</v>
      </c>
      <c r="C48" s="125" t="s">
        <v>391</v>
      </c>
      <c r="D48" s="125">
        <v>88309</v>
      </c>
      <c r="E48" s="125" t="s">
        <v>347</v>
      </c>
      <c r="F48" s="126">
        <v>32.270000000000003</v>
      </c>
      <c r="G48" s="132"/>
      <c r="H48" s="123"/>
    </row>
    <row r="49" spans="2:8" ht="33" customHeight="1">
      <c r="B49" s="124" t="s">
        <v>406</v>
      </c>
      <c r="C49" s="125" t="s">
        <v>391</v>
      </c>
      <c r="D49" s="125">
        <v>102498</v>
      </c>
      <c r="E49" s="125" t="s">
        <v>189</v>
      </c>
      <c r="F49" s="126">
        <v>1.88</v>
      </c>
      <c r="G49" s="132"/>
      <c r="H49" s="123"/>
    </row>
    <row r="50" spans="2:8" ht="47.25" customHeight="1">
      <c r="B50" s="124" t="s">
        <v>407</v>
      </c>
      <c r="C50" s="125" t="s">
        <v>391</v>
      </c>
      <c r="D50" s="125">
        <v>4813</v>
      </c>
      <c r="E50" s="125" t="s">
        <v>186</v>
      </c>
      <c r="F50" s="126">
        <v>375</v>
      </c>
      <c r="G50" s="132"/>
      <c r="H50" s="123"/>
    </row>
    <row r="51" spans="2:8" ht="31.5" customHeight="1">
      <c r="B51" s="124" t="s">
        <v>408</v>
      </c>
      <c r="C51" s="125" t="s">
        <v>391</v>
      </c>
      <c r="D51" s="125">
        <v>4491</v>
      </c>
      <c r="E51" s="125" t="s">
        <v>189</v>
      </c>
      <c r="F51" s="126">
        <v>9.5</v>
      </c>
      <c r="G51" s="132"/>
      <c r="H51" s="123"/>
    </row>
    <row r="52" spans="2:8" ht="21" customHeight="1">
      <c r="B52" s="124" t="s">
        <v>409</v>
      </c>
      <c r="C52" s="125" t="s">
        <v>391</v>
      </c>
      <c r="D52" s="125">
        <v>5075</v>
      </c>
      <c r="E52" s="125" t="s">
        <v>344</v>
      </c>
      <c r="F52" s="126">
        <v>17.760000000000002</v>
      </c>
      <c r="G52" s="132"/>
      <c r="H52" s="123"/>
    </row>
    <row r="53" spans="2:8" ht="30.75" customHeight="1">
      <c r="B53" s="124" t="s">
        <v>410</v>
      </c>
      <c r="C53" s="125" t="s">
        <v>391</v>
      </c>
      <c r="D53" s="125">
        <v>4417</v>
      </c>
      <c r="E53" s="125" t="s">
        <v>189</v>
      </c>
      <c r="F53" s="126">
        <v>7.22</v>
      </c>
      <c r="G53" s="132"/>
      <c r="H53" s="123"/>
    </row>
    <row r="54" spans="2:8" ht="31.5" customHeight="1">
      <c r="B54" s="124" t="s">
        <v>411</v>
      </c>
      <c r="C54" s="125" t="s">
        <v>391</v>
      </c>
      <c r="D54" s="125">
        <v>43142</v>
      </c>
      <c r="E54" s="125" t="s">
        <v>402</v>
      </c>
      <c r="F54" s="126">
        <v>144.86000000000001</v>
      </c>
      <c r="G54" s="132"/>
      <c r="H54" s="123"/>
    </row>
    <row r="55" spans="2:8" ht="18" customHeight="1">
      <c r="B55" s="124" t="s">
        <v>412</v>
      </c>
      <c r="C55" s="125" t="s">
        <v>391</v>
      </c>
      <c r="D55" s="125">
        <v>88316</v>
      </c>
      <c r="E55" s="125" t="s">
        <v>347</v>
      </c>
      <c r="F55" s="126">
        <v>23.23</v>
      </c>
      <c r="G55" s="132"/>
      <c r="H55" s="123"/>
    </row>
    <row r="56" spans="2:8" ht="32.25" customHeight="1">
      <c r="B56" s="124" t="s">
        <v>413</v>
      </c>
      <c r="C56" s="125" t="s">
        <v>391</v>
      </c>
      <c r="D56" s="125">
        <v>44073</v>
      </c>
      <c r="E56" s="125" t="s">
        <v>189</v>
      </c>
      <c r="F56" s="126">
        <v>0.68</v>
      </c>
      <c r="G56" s="132"/>
      <c r="H56" s="123"/>
    </row>
    <row r="57" spans="2:8" ht="21" customHeight="1">
      <c r="B57" s="124" t="s">
        <v>414</v>
      </c>
      <c r="C57" s="125" t="s">
        <v>391</v>
      </c>
      <c r="D57" s="125">
        <v>90781</v>
      </c>
      <c r="E57" s="125" t="s">
        <v>347</v>
      </c>
      <c r="F57" s="126">
        <v>38.700000000000003</v>
      </c>
      <c r="G57" s="132"/>
      <c r="H57" s="123"/>
    </row>
    <row r="58" spans="2:8">
      <c r="B58" s="123"/>
      <c r="C58" s="131"/>
      <c r="D58" s="131"/>
      <c r="E58" s="131"/>
      <c r="F58" s="131"/>
      <c r="G58" s="131"/>
      <c r="H58" s="123"/>
    </row>
    <row r="59" spans="2:8" ht="25.5">
      <c r="B59" s="121" t="s">
        <v>415</v>
      </c>
      <c r="C59" s="122" t="s">
        <v>336</v>
      </c>
      <c r="D59" s="122" t="s">
        <v>21</v>
      </c>
      <c r="E59" s="122" t="s">
        <v>337</v>
      </c>
      <c r="F59" s="122" t="s">
        <v>389</v>
      </c>
      <c r="G59" s="132"/>
      <c r="H59" s="123"/>
    </row>
    <row r="60" spans="2:8">
      <c r="B60" s="124" t="s">
        <v>416</v>
      </c>
      <c r="C60" s="125" t="s">
        <v>72</v>
      </c>
      <c r="D60" s="125" t="s">
        <v>417</v>
      </c>
      <c r="E60" s="125" t="s">
        <v>186</v>
      </c>
      <c r="F60" s="126">
        <v>242.33</v>
      </c>
      <c r="G60" s="132"/>
      <c r="H60" s="123"/>
    </row>
    <row r="61" spans="2:8">
      <c r="B61" s="124" t="s">
        <v>418</v>
      </c>
      <c r="C61" s="125" t="s">
        <v>72</v>
      </c>
      <c r="D61" s="125" t="s">
        <v>419</v>
      </c>
      <c r="E61" s="125" t="s">
        <v>337</v>
      </c>
      <c r="F61" s="126">
        <v>165</v>
      </c>
      <c r="G61" s="132"/>
      <c r="H61" s="123"/>
    </row>
    <row r="62" spans="2:8">
      <c r="B62" s="124" t="s">
        <v>420</v>
      </c>
      <c r="C62" s="125" t="s">
        <v>72</v>
      </c>
      <c r="D62" s="125" t="s">
        <v>421</v>
      </c>
      <c r="E62" s="125" t="s">
        <v>337</v>
      </c>
      <c r="F62" s="126">
        <v>165</v>
      </c>
      <c r="G62" s="132"/>
      <c r="H62" s="123"/>
    </row>
    <row r="63" spans="2:8">
      <c r="B63" s="124" t="s">
        <v>422</v>
      </c>
      <c r="C63" s="125" t="s">
        <v>72</v>
      </c>
      <c r="D63" s="125" t="s">
        <v>423</v>
      </c>
      <c r="E63" s="125" t="s">
        <v>337</v>
      </c>
      <c r="F63" s="126">
        <v>165</v>
      </c>
      <c r="G63" s="132"/>
      <c r="H63" s="123"/>
    </row>
    <row r="64" spans="2:8">
      <c r="B64" s="124" t="s">
        <v>424</v>
      </c>
      <c r="C64" s="125" t="s">
        <v>72</v>
      </c>
      <c r="D64" s="125" t="s">
        <v>425</v>
      </c>
      <c r="E64" s="125" t="s">
        <v>337</v>
      </c>
      <c r="F64" s="126">
        <v>220</v>
      </c>
      <c r="G64" s="132"/>
      <c r="H64" s="123"/>
    </row>
    <row r="65" spans="2:8">
      <c r="B65" s="124" t="s">
        <v>426</v>
      </c>
      <c r="C65" s="125" t="s">
        <v>72</v>
      </c>
      <c r="D65" s="125" t="s">
        <v>427</v>
      </c>
      <c r="E65" s="125" t="s">
        <v>337</v>
      </c>
      <c r="F65" s="126">
        <v>285</v>
      </c>
      <c r="G65" s="132"/>
      <c r="H65" s="123"/>
    </row>
    <row r="66" spans="2:8">
      <c r="B66" s="124" t="s">
        <v>428</v>
      </c>
      <c r="C66" s="125" t="s">
        <v>72</v>
      </c>
      <c r="D66" s="125" t="s">
        <v>429</v>
      </c>
      <c r="E66" s="125" t="s">
        <v>430</v>
      </c>
      <c r="F66" s="126">
        <v>4.6900000000000004</v>
      </c>
      <c r="G66" s="132"/>
      <c r="H66" s="123"/>
    </row>
    <row r="67" spans="2:8" ht="25.5">
      <c r="B67" s="124" t="s">
        <v>431</v>
      </c>
      <c r="C67" s="125" t="s">
        <v>72</v>
      </c>
      <c r="D67" s="125" t="s">
        <v>432</v>
      </c>
      <c r="E67" s="125" t="s">
        <v>186</v>
      </c>
      <c r="F67" s="126">
        <v>40.56</v>
      </c>
      <c r="G67" s="131"/>
      <c r="H67" s="123"/>
    </row>
    <row r="68" spans="2:8">
      <c r="B68" s="124"/>
      <c r="C68" s="125"/>
      <c r="D68" s="125"/>
      <c r="E68" s="125"/>
      <c r="F68" s="125"/>
      <c r="G68" s="131"/>
      <c r="H68" s="123"/>
    </row>
  </sheetData>
  <autoFilter ref="B3:G32" xr:uid="{00000000-0009-0000-0000-000008000000}"/>
  <sortState xmlns:xlrd2="http://schemas.microsoft.com/office/spreadsheetml/2017/richdata2" ref="B35:G55">
    <sortCondition ref="B35:B55"/>
  </sortState>
  <mergeCells count="2">
    <mergeCell ref="B1:E1"/>
    <mergeCell ref="F1:G1"/>
  </mergeCells>
  <pageMargins left="0.78740157480314998" right="0.78740157480314998" top="0.39370078740157499" bottom="0.39370078740157499" header="0.31496062992126" footer="0.31496062992126"/>
  <pageSetup paperSize="9" scale="47" orientation="portrait" r:id="rId1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13</vt:i4>
      </vt:variant>
    </vt:vector>
  </HeadingPairs>
  <TitlesOfParts>
    <vt:vector size="25" baseType="lpstr">
      <vt:lpstr>RESUMO</vt:lpstr>
      <vt:lpstr>Planilha Global</vt:lpstr>
      <vt:lpstr>Planilha Unitária</vt:lpstr>
      <vt:lpstr>Cronograma</vt:lpstr>
      <vt:lpstr>CPU CODEVASF E SINAPI</vt:lpstr>
      <vt:lpstr>CPU ENSAIOS-ORSE</vt:lpstr>
      <vt:lpstr>COMPOSIÇÕES SICRO</vt:lpstr>
      <vt:lpstr>PROJETO EXECUTIVO</vt:lpstr>
      <vt:lpstr>Preços Insumos e Serviços</vt:lpstr>
      <vt:lpstr>Mobilização</vt:lpstr>
      <vt:lpstr>BDI</vt:lpstr>
      <vt:lpstr>Det. Encargos Sociais</vt:lpstr>
      <vt:lpstr>BDI!Area_de_impressao</vt:lpstr>
      <vt:lpstr>'CPU CODEVASF E SINAPI'!Area_de_impressao</vt:lpstr>
      <vt:lpstr>'CPU ENSAIOS-ORSE'!Area_de_impressao</vt:lpstr>
      <vt:lpstr>Cronograma!Area_de_impressao</vt:lpstr>
      <vt:lpstr>'Det. Encargos Sociais'!Area_de_impressao</vt:lpstr>
      <vt:lpstr>Mobilização!Area_de_impressao</vt:lpstr>
      <vt:lpstr>'Planilha Global'!Area_de_impressao</vt:lpstr>
      <vt:lpstr>'Planilha Unitária'!Area_de_impressao</vt:lpstr>
      <vt:lpstr>'Preços Insumos e Serviços'!Area_de_impressao</vt:lpstr>
      <vt:lpstr>'PROJETO EXECUTIVO'!Area_de_impressao</vt:lpstr>
      <vt:lpstr>RESUMO!Area_de_impressao</vt:lpstr>
      <vt:lpstr>Cronograma!Titulos_de_impressao</vt:lpstr>
      <vt:lpstr>'Preços Insumos e Serviços'!Titulos_de_impressao</vt:lpstr>
    </vt:vector>
  </TitlesOfParts>
  <Company>DERBa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Helton Pereira Paiva da Cruz</cp:lastModifiedBy>
  <cp:lastPrinted>2024-10-09T15:31:00Z</cp:lastPrinted>
  <dcterms:created xsi:type="dcterms:W3CDTF">1998-01-22T12:19:00Z</dcterms:created>
  <dcterms:modified xsi:type="dcterms:W3CDTF">2024-11-11T17:47:28Z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74CF28E284254656A80D802DDCE8905A_13</vt:lpwstr>
  </property>
  <property fmtid="{D5CDD505-2E9C-101B-9397-08002B2CF9AE}" pid="3" name="KSOProductBuildVer">
    <vt:lpwstr>1046-12.2.0.16909</vt:lpwstr>
  </property>
</Properties>
</file>