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pfecombr-my.sharepoint.com/personal/jadilson_junior_tpfe_com_br/Documents/Documentos/AGAPE/3.0 Projetos - AGAPE/Cliente Eng. Thannys/20240717/"/>
    </mc:Choice>
  </mc:AlternateContent>
  <xr:revisionPtr revIDLastSave="0" documentId="8_{97385B82-8920-443E-A534-DDB9BE51F833}" xr6:coauthVersionLast="47" xr6:coauthVersionMax="47" xr10:uidLastSave="{00000000-0000-0000-0000-000000000000}"/>
  <bookViews>
    <workbookView xWindow="-108" yWindow="-108" windowWidth="23256" windowHeight="12576" activeTab="1" xr2:uid="{5799CC1C-501C-4829-842F-C486DB2FAF63}"/>
  </bookViews>
  <sheets>
    <sheet name="Bocas de Lobo" sheetId="7" r:id="rId1"/>
    <sheet name="Sarjetas" sheetId="6" r:id="rId2"/>
    <sheet name="Dimensionamento automático" sheetId="5" state="hidden" r:id="rId3"/>
    <sheet name="Galeria" sheetId="1" state="hidden" r:id="rId4"/>
    <sheet name="Poço de Visita" sheetId="3" state="hidden" r:id="rId5"/>
    <sheet name="Escoamento" sheetId="2" state="hidden" r:id="rId6"/>
    <sheet name="Especificações" sheetId="4" state="hidden" r:id="rId7"/>
  </sheets>
  <definedNames>
    <definedName name="_xlnm.Print_Area" localSheetId="0">'Bocas de Lobo'!$A$12:$U$40</definedName>
    <definedName name="_xlnm.Print_Area" localSheetId="2">'Dimensionamento automático'!$B$5:$S$55</definedName>
    <definedName name="_xlnm.Print_Area" localSheetId="5">Escoamento!$A$1:$T$54</definedName>
    <definedName name="_xlnm.Print_Area" localSheetId="3">Galeria!$A$1:$X$55</definedName>
    <definedName name="_xlnm.Print_Area" localSheetId="4">'Poço de Visita'!$A$1:$I$55</definedName>
    <definedName name="_xlnm.Print_Area" localSheetId="1">Sarjetas!$A$10:$J$38</definedName>
    <definedName name="solver_adj" localSheetId="5" hidden="1">Escoamento!$H$54</definedName>
    <definedName name="solver_cvg" localSheetId="5" hidden="1">0.0001</definedName>
    <definedName name="solver_drv" localSheetId="5" hidden="1">1</definedName>
    <definedName name="solver_eng" localSheetId="5" hidden="1">1</definedName>
    <definedName name="solver_est" localSheetId="5" hidden="1">1</definedName>
    <definedName name="solver_itr" localSheetId="5" hidden="1">2147483647</definedName>
    <definedName name="solver_mip" localSheetId="5" hidden="1">2147483647</definedName>
    <definedName name="solver_mni" localSheetId="5" hidden="1">30</definedName>
    <definedName name="solver_mrt" localSheetId="5" hidden="1">0.075</definedName>
    <definedName name="solver_msl" localSheetId="5" hidden="1">2</definedName>
    <definedName name="solver_neg" localSheetId="5" hidden="1">2</definedName>
    <definedName name="solver_nod" localSheetId="5" hidden="1">2147483647</definedName>
    <definedName name="solver_num" localSheetId="5" hidden="1">0</definedName>
    <definedName name="solver_nwt" localSheetId="5" hidden="1">1</definedName>
    <definedName name="solver_opt" localSheetId="5" hidden="1">Escoamento!$L$54</definedName>
    <definedName name="solver_pre" localSheetId="5" hidden="1">0.000001</definedName>
    <definedName name="solver_rbv" localSheetId="5" hidden="1">2</definedName>
    <definedName name="solver_rlx" localSheetId="5" hidden="1">2</definedName>
    <definedName name="solver_rsd" localSheetId="5" hidden="1">0</definedName>
    <definedName name="solver_scl" localSheetId="5" hidden="1">2</definedName>
    <definedName name="solver_sho" localSheetId="5" hidden="1">2</definedName>
    <definedName name="solver_ssz" localSheetId="5" hidden="1">0</definedName>
    <definedName name="solver_tim" localSheetId="5" hidden="1">2147483647</definedName>
    <definedName name="solver_tol" localSheetId="5" hidden="1">0.01</definedName>
    <definedName name="solver_typ" localSheetId="5" hidden="1">3</definedName>
    <definedName name="solver_val" localSheetId="5" hidden="1">0</definedName>
    <definedName name="solver_ver" localSheetId="5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4" i="6" l="1"/>
  <c r="G15" i="6"/>
  <c r="G16" i="6" s="1"/>
  <c r="G17" i="6" s="1"/>
  <c r="G18" i="6" s="1"/>
  <c r="G19" i="6" s="1"/>
  <c r="G13" i="6"/>
  <c r="P29" i="7"/>
  <c r="Q29" i="7"/>
  <c r="P30" i="7" s="1"/>
  <c r="I29" i="7"/>
  <c r="C16" i="6"/>
  <c r="D16" i="6"/>
  <c r="E16" i="6" s="1"/>
  <c r="F16" i="6" s="1"/>
  <c r="C17" i="6"/>
  <c r="E17" i="6" s="1"/>
  <c r="J17" i="6" s="1"/>
  <c r="T19" i="7" s="1"/>
  <c r="H19" i="7" s="1"/>
  <c r="J19" i="7" s="1"/>
  <c r="D17" i="6"/>
  <c r="C18" i="6"/>
  <c r="D18" i="6"/>
  <c r="C19" i="6"/>
  <c r="D19" i="6"/>
  <c r="C20" i="6"/>
  <c r="D20" i="6"/>
  <c r="C21" i="6"/>
  <c r="D21" i="6"/>
  <c r="C22" i="6"/>
  <c r="D22" i="6"/>
  <c r="E22" i="6" s="1"/>
  <c r="J22" i="6" s="1"/>
  <c r="T24" i="7" s="1"/>
  <c r="H24" i="7" s="1"/>
  <c r="J24" i="7" s="1"/>
  <c r="C23" i="6"/>
  <c r="E23" i="6" s="1"/>
  <c r="J23" i="6" s="1"/>
  <c r="T25" i="7" s="1"/>
  <c r="U25" i="7" s="1"/>
  <c r="D23" i="6"/>
  <c r="C24" i="6"/>
  <c r="D24" i="6"/>
  <c r="C25" i="6"/>
  <c r="D25" i="6"/>
  <c r="C26" i="6"/>
  <c r="D26" i="6"/>
  <c r="C27" i="6"/>
  <c r="D27" i="6"/>
  <c r="C28" i="6"/>
  <c r="D28" i="6"/>
  <c r="C29" i="6"/>
  <c r="D29" i="6"/>
  <c r="C30" i="6"/>
  <c r="D30" i="6"/>
  <c r="E30" i="6" s="1"/>
  <c r="F30" i="6" s="1"/>
  <c r="C31" i="6"/>
  <c r="D31" i="6"/>
  <c r="E31" i="6" s="1"/>
  <c r="F31" i="6" s="1"/>
  <c r="C32" i="6"/>
  <c r="D32" i="6"/>
  <c r="C33" i="6"/>
  <c r="E33" i="6" s="1"/>
  <c r="F33" i="6" s="1"/>
  <c r="D33" i="6"/>
  <c r="C34" i="6"/>
  <c r="D34" i="6"/>
  <c r="E34" i="6" s="1"/>
  <c r="F34" i="6" s="1"/>
  <c r="C35" i="6"/>
  <c r="E35" i="6" s="1"/>
  <c r="J35" i="6" s="1"/>
  <c r="T37" i="7" s="1"/>
  <c r="U37" i="7" s="1"/>
  <c r="D35" i="6"/>
  <c r="C36" i="6"/>
  <c r="D36" i="6"/>
  <c r="C37" i="6"/>
  <c r="D37" i="6"/>
  <c r="E37" i="6" s="1"/>
  <c r="F37" i="6" s="1"/>
  <c r="C38" i="6"/>
  <c r="D38" i="6"/>
  <c r="E19" i="6"/>
  <c r="F19" i="6" s="1"/>
  <c r="E27" i="6"/>
  <c r="F27" i="6" s="1"/>
  <c r="D40" i="7"/>
  <c r="D39" i="7"/>
  <c r="G39" i="7" s="1"/>
  <c r="E39" i="7"/>
  <c r="F39" i="7"/>
  <c r="F40" i="7"/>
  <c r="F38" i="7"/>
  <c r="F37" i="7"/>
  <c r="E38" i="7"/>
  <c r="D38" i="7"/>
  <c r="M37" i="7"/>
  <c r="E36" i="7"/>
  <c r="F36" i="7"/>
  <c r="F35" i="7"/>
  <c r="D36" i="7"/>
  <c r="M35" i="7"/>
  <c r="M34" i="7"/>
  <c r="M33" i="7"/>
  <c r="N33" i="7" s="1"/>
  <c r="F34" i="7"/>
  <c r="F33" i="7"/>
  <c r="E34" i="7"/>
  <c r="M32" i="7"/>
  <c r="M31" i="7"/>
  <c r="D34" i="7"/>
  <c r="D32" i="7"/>
  <c r="F32" i="7"/>
  <c r="F31" i="7"/>
  <c r="E32" i="7"/>
  <c r="F30" i="7"/>
  <c r="F29" i="7"/>
  <c r="D30" i="7"/>
  <c r="D29" i="7"/>
  <c r="E30" i="7"/>
  <c r="D28" i="7"/>
  <c r="G28" i="7" s="1"/>
  <c r="D27" i="7"/>
  <c r="F28" i="7"/>
  <c r="F26" i="7"/>
  <c r="F25" i="7"/>
  <c r="D15" i="6"/>
  <c r="E15" i="6" s="1"/>
  <c r="J15" i="6" s="1"/>
  <c r="T17" i="7" s="1"/>
  <c r="H17" i="7" s="1"/>
  <c r="D14" i="6"/>
  <c r="C15" i="6"/>
  <c r="C14" i="6"/>
  <c r="E36" i="6"/>
  <c r="F36" i="6" s="1"/>
  <c r="E38" i="6"/>
  <c r="F38" i="6" s="1"/>
  <c r="R22" i="7"/>
  <c r="G22" i="7"/>
  <c r="N22" i="7"/>
  <c r="E22" i="7"/>
  <c r="D22" i="7"/>
  <c r="M21" i="7"/>
  <c r="N21" i="7" s="1"/>
  <c r="N19" i="7"/>
  <c r="M16" i="7"/>
  <c r="N16" i="7" s="1"/>
  <c r="N18" i="7"/>
  <c r="N20" i="7"/>
  <c r="N23" i="7"/>
  <c r="N24" i="7"/>
  <c r="N25" i="7"/>
  <c r="N26" i="7"/>
  <c r="N27" i="7"/>
  <c r="N28" i="7"/>
  <c r="N29" i="7"/>
  <c r="N30" i="7"/>
  <c r="N31" i="7"/>
  <c r="N32" i="7"/>
  <c r="N34" i="7"/>
  <c r="N35" i="7"/>
  <c r="N36" i="7"/>
  <c r="N37" i="7"/>
  <c r="N38" i="7"/>
  <c r="N39" i="7"/>
  <c r="N40" i="7"/>
  <c r="D19" i="7"/>
  <c r="G19" i="7" s="1"/>
  <c r="G35" i="7"/>
  <c r="G37" i="7"/>
  <c r="G40" i="7"/>
  <c r="D17" i="7"/>
  <c r="E17" i="7"/>
  <c r="N17" i="7"/>
  <c r="M14" i="7"/>
  <c r="N14" i="7" s="1"/>
  <c r="G16" i="7"/>
  <c r="G18" i="7"/>
  <c r="G20" i="7"/>
  <c r="G21" i="7"/>
  <c r="G23" i="7"/>
  <c r="G24" i="7"/>
  <c r="G25" i="7"/>
  <c r="G26" i="7"/>
  <c r="G27" i="7"/>
  <c r="G29" i="7"/>
  <c r="G30" i="7"/>
  <c r="G31" i="7"/>
  <c r="G32" i="7"/>
  <c r="G33" i="7"/>
  <c r="F15" i="7"/>
  <c r="E15" i="7"/>
  <c r="D15" i="7"/>
  <c r="J7" i="7"/>
  <c r="D12" i="6"/>
  <c r="C12" i="6"/>
  <c r="W16" i="7"/>
  <c r="X16" i="7" s="1"/>
  <c r="AI15" i="7"/>
  <c r="AJ15" i="7" s="1"/>
  <c r="AL15" i="7" s="1"/>
  <c r="N15" i="7"/>
  <c r="G14" i="7"/>
  <c r="V4" i="7"/>
  <c r="V6" i="7" s="1"/>
  <c r="E14" i="6"/>
  <c r="F14" i="6" s="1"/>
  <c r="E18" i="6"/>
  <c r="J18" i="6" s="1"/>
  <c r="T20" i="7" s="1"/>
  <c r="U20" i="7" s="1"/>
  <c r="E20" i="6"/>
  <c r="F20" i="6" s="1"/>
  <c r="E21" i="6"/>
  <c r="F21" i="6" s="1"/>
  <c r="E24" i="6"/>
  <c r="F24" i="6" s="1"/>
  <c r="E25" i="6"/>
  <c r="F25" i="6" s="1"/>
  <c r="E26" i="6"/>
  <c r="F26" i="6" s="1"/>
  <c r="E28" i="6"/>
  <c r="F28" i="6" s="1"/>
  <c r="E29" i="6"/>
  <c r="J29" i="6" s="1"/>
  <c r="T31" i="7" s="1"/>
  <c r="H31" i="7" s="1"/>
  <c r="E32" i="6"/>
  <c r="J32" i="6" s="1"/>
  <c r="T34" i="7" s="1"/>
  <c r="U34" i="7" s="1"/>
  <c r="D13" i="6"/>
  <c r="C13" i="6"/>
  <c r="H19" i="6" l="1"/>
  <c r="I19" i="6" s="1"/>
  <c r="G20" i="6"/>
  <c r="G21" i="6" s="1"/>
  <c r="G22" i="6" s="1"/>
  <c r="G23" i="6" s="1"/>
  <c r="G24" i="6" s="1"/>
  <c r="G25" i="6" s="1"/>
  <c r="G26" i="6" s="1"/>
  <c r="G27" i="6" s="1"/>
  <c r="G28" i="6" s="1"/>
  <c r="G29" i="6" s="1"/>
  <c r="G30" i="6" s="1"/>
  <c r="G31" i="6" s="1"/>
  <c r="G32" i="6" s="1"/>
  <c r="G33" i="6" s="1"/>
  <c r="G34" i="6" s="1"/>
  <c r="G35" i="6" s="1"/>
  <c r="G36" i="6" s="1"/>
  <c r="G37" i="6" s="1"/>
  <c r="G38" i="6" s="1"/>
  <c r="J19" i="6"/>
  <c r="F32" i="6"/>
  <c r="J38" i="6"/>
  <c r="T40" i="7" s="1"/>
  <c r="U40" i="7" s="1"/>
  <c r="J31" i="6"/>
  <c r="T33" i="7" s="1"/>
  <c r="H33" i="7" s="1"/>
  <c r="J37" i="6"/>
  <c r="T39" i="7" s="1"/>
  <c r="U39" i="7" s="1"/>
  <c r="G38" i="7"/>
  <c r="G36" i="7"/>
  <c r="G34" i="7"/>
  <c r="J21" i="6"/>
  <c r="J34" i="6"/>
  <c r="T36" i="7" s="1"/>
  <c r="H36" i="7" s="1"/>
  <c r="F35" i="6"/>
  <c r="J36" i="6"/>
  <c r="T38" i="7" s="1"/>
  <c r="U38" i="7" s="1"/>
  <c r="J33" i="6"/>
  <c r="T35" i="7" s="1"/>
  <c r="H35" i="7" s="1"/>
  <c r="H37" i="7"/>
  <c r="G17" i="7"/>
  <c r="G15" i="7"/>
  <c r="U31" i="7"/>
  <c r="I25" i="7"/>
  <c r="U24" i="7"/>
  <c r="U19" i="7"/>
  <c r="U17" i="7"/>
  <c r="H34" i="7"/>
  <c r="H25" i="7"/>
  <c r="H20" i="7"/>
  <c r="V5" i="7"/>
  <c r="V7" i="7" s="1"/>
  <c r="R17" i="7" s="1"/>
  <c r="J20" i="6"/>
  <c r="T21" i="7" s="1"/>
  <c r="H21" i="7" s="1"/>
  <c r="J26" i="6"/>
  <c r="T28" i="7" s="1"/>
  <c r="H28" i="7" s="1"/>
  <c r="E13" i="6"/>
  <c r="F13" i="6" s="1"/>
  <c r="F18" i="6"/>
  <c r="F22" i="6"/>
  <c r="F17" i="6"/>
  <c r="F29" i="6"/>
  <c r="J28" i="6"/>
  <c r="T30" i="7" s="1"/>
  <c r="H30" i="7" s="1"/>
  <c r="J30" i="6"/>
  <c r="T32" i="7" s="1"/>
  <c r="U32" i="7" s="1"/>
  <c r="J14" i="6"/>
  <c r="T16" i="7" s="1"/>
  <c r="H16" i="7" s="1"/>
  <c r="J16" i="7" s="1"/>
  <c r="F23" i="6"/>
  <c r="F15" i="6"/>
  <c r="J27" i="6"/>
  <c r="T29" i="7" s="1"/>
  <c r="U29" i="7" s="1"/>
  <c r="J24" i="6"/>
  <c r="T26" i="7" s="1"/>
  <c r="U26" i="7" s="1"/>
  <c r="J16" i="6"/>
  <c r="T18" i="7" s="1"/>
  <c r="U18" i="7" s="1"/>
  <c r="J25" i="6"/>
  <c r="T27" i="7" s="1"/>
  <c r="H27" i="7" s="1"/>
  <c r="H40" i="7" l="1"/>
  <c r="H39" i="7"/>
  <c r="U21" i="7"/>
  <c r="H32" i="7"/>
  <c r="U33" i="7"/>
  <c r="J27" i="7"/>
  <c r="I28" i="7" s="1"/>
  <c r="J28" i="7" s="1"/>
  <c r="U36" i="7"/>
  <c r="J21" i="7"/>
  <c r="I23" i="7" s="1"/>
  <c r="J25" i="7"/>
  <c r="I26" i="7" s="1"/>
  <c r="J26" i="7" s="1"/>
  <c r="U28" i="7"/>
  <c r="T22" i="7"/>
  <c r="T23" i="7"/>
  <c r="U27" i="7"/>
  <c r="H29" i="7"/>
  <c r="J29" i="7" s="1"/>
  <c r="H18" i="7"/>
  <c r="H26" i="7"/>
  <c r="U30" i="7"/>
  <c r="J13" i="6"/>
  <c r="T15" i="7" s="1"/>
  <c r="U35" i="7"/>
  <c r="U16" i="7"/>
  <c r="H38" i="7"/>
  <c r="R39" i="7"/>
  <c r="R37" i="7"/>
  <c r="R35" i="7"/>
  <c r="R40" i="7"/>
  <c r="R36" i="7"/>
  <c r="R38" i="7"/>
  <c r="R21" i="7"/>
  <c r="R24" i="7"/>
  <c r="R19" i="7"/>
  <c r="R34" i="7"/>
  <c r="R16" i="7"/>
  <c r="R25" i="7"/>
  <c r="R33" i="7"/>
  <c r="R27" i="7"/>
  <c r="R30" i="7"/>
  <c r="R31" i="7"/>
  <c r="R28" i="7"/>
  <c r="R23" i="7"/>
  <c r="R26" i="7"/>
  <c r="R32" i="7"/>
  <c r="R18" i="7"/>
  <c r="R29" i="7"/>
  <c r="R20" i="7"/>
  <c r="R15" i="7"/>
  <c r="R14" i="7"/>
  <c r="K29" i="7" l="1"/>
  <c r="I30" i="7"/>
  <c r="J30" i="7" s="1"/>
  <c r="I31" i="7" s="1"/>
  <c r="J31" i="7" s="1"/>
  <c r="I32" i="7" s="1"/>
  <c r="U15" i="7"/>
  <c r="H15" i="7"/>
  <c r="J15" i="7" s="1"/>
  <c r="U23" i="7"/>
  <c r="H23" i="7"/>
  <c r="U22" i="7"/>
  <c r="H22" i="7"/>
  <c r="J32" i="7"/>
  <c r="I33" i="7" s="1"/>
  <c r="J22" i="7" l="1"/>
  <c r="J23" i="7"/>
  <c r="I17" i="7"/>
  <c r="J17" i="7" s="1"/>
  <c r="J33" i="7" l="1"/>
  <c r="I34" i="7" s="1"/>
  <c r="J34" i="7" s="1"/>
  <c r="I35" i="7" s="1"/>
  <c r="J35" i="7" s="1"/>
  <c r="I36" i="7" s="1"/>
  <c r="J36" i="7" s="1"/>
  <c r="I37" i="7" s="1"/>
  <c r="J37" i="7" s="1"/>
  <c r="I38" i="7" s="1"/>
  <c r="J38" i="7" s="1"/>
  <c r="I39" i="7" s="1"/>
  <c r="J39" i="7" s="1"/>
  <c r="I40" i="7" s="1"/>
  <c r="J40" i="7" s="1"/>
  <c r="I18" i="7"/>
  <c r="J18" i="7" s="1"/>
  <c r="V24" i="7"/>
  <c r="X25" i="7"/>
  <c r="B2" i="6"/>
  <c r="J3" i="7" s="1"/>
  <c r="K22" i="7" s="1"/>
  <c r="O22" i="7" s="1"/>
  <c r="Q22" i="7" s="1"/>
  <c r="S22" i="7" s="1"/>
  <c r="B5" i="6"/>
  <c r="J6" i="7" s="1"/>
  <c r="B4" i="6"/>
  <c r="J5" i="7" s="1"/>
  <c r="B3" i="6"/>
  <c r="J4" i="7" s="1"/>
  <c r="F4" i="6"/>
  <c r="F5" i="6" s="1"/>
  <c r="M8" i="6"/>
  <c r="M11" i="6"/>
  <c r="R7" i="1"/>
  <c r="K17" i="7" l="1"/>
  <c r="O17" i="7" s="1"/>
  <c r="K33" i="7"/>
  <c r="O33" i="7" s="1"/>
  <c r="K14" i="7"/>
  <c r="O14" i="7" s="1"/>
  <c r="Q14" i="7" s="1"/>
  <c r="K24" i="7"/>
  <c r="O24" i="7" s="1"/>
  <c r="Q24" i="7" s="1"/>
  <c r="K19" i="7"/>
  <c r="O19" i="7" s="1"/>
  <c r="Q19" i="7" s="1"/>
  <c r="S19" i="7" s="1"/>
  <c r="J9" i="7"/>
  <c r="K16" i="7"/>
  <c r="O16" i="7" s="1"/>
  <c r="Q16" i="7" s="1"/>
  <c r="S16" i="7" s="1"/>
  <c r="O29" i="7"/>
  <c r="S29" i="7" s="1"/>
  <c r="K27" i="7"/>
  <c r="O27" i="7" s="1"/>
  <c r="Q27" i="7" s="1"/>
  <c r="K31" i="7"/>
  <c r="O31" i="7" s="1"/>
  <c r="K37" i="7"/>
  <c r="O37" i="7" s="1"/>
  <c r="K34" i="7"/>
  <c r="O34" i="7" s="1"/>
  <c r="K36" i="7"/>
  <c r="O36" i="7" s="1"/>
  <c r="K28" i="7"/>
  <c r="O28" i="7" s="1"/>
  <c r="K25" i="7"/>
  <c r="O25" i="7" s="1"/>
  <c r="K30" i="7"/>
  <c r="O30" i="7" s="1"/>
  <c r="K21" i="7"/>
  <c r="O21" i="7" s="1"/>
  <c r="Q21" i="7" s="1"/>
  <c r="K40" i="7"/>
  <c r="O40" i="7" s="1"/>
  <c r="K26" i="7"/>
  <c r="O26" i="7" s="1"/>
  <c r="K38" i="7"/>
  <c r="O38" i="7" s="1"/>
  <c r="K35" i="7"/>
  <c r="O35" i="7" s="1"/>
  <c r="K15" i="7"/>
  <c r="O15" i="7" s="1"/>
  <c r="Q15" i="7" s="1"/>
  <c r="S15" i="7" s="1"/>
  <c r="K32" i="7"/>
  <c r="O32" i="7" s="1"/>
  <c r="K23" i="7"/>
  <c r="O23" i="7" s="1"/>
  <c r="K39" i="7"/>
  <c r="O39" i="7" s="1"/>
  <c r="K18" i="7"/>
  <c r="O18" i="7" s="1"/>
  <c r="I20" i="7"/>
  <c r="K28" i="6"/>
  <c r="E12" i="6"/>
  <c r="F12" i="6" s="1"/>
  <c r="K31" i="6"/>
  <c r="B8" i="6"/>
  <c r="K27" i="6"/>
  <c r="K30" i="6"/>
  <c r="K32" i="6"/>
  <c r="K29" i="6"/>
  <c r="F6" i="6"/>
  <c r="P28" i="7" l="1"/>
  <c r="Q28" i="7" s="1"/>
  <c r="S27" i="7"/>
  <c r="H38" i="6"/>
  <c r="I38" i="6" s="1"/>
  <c r="H34" i="6"/>
  <c r="I34" i="6" s="1"/>
  <c r="H37" i="6"/>
  <c r="I37" i="6" s="1"/>
  <c r="H33" i="6"/>
  <c r="I33" i="6" s="1"/>
  <c r="H36" i="6"/>
  <c r="I36" i="6" s="1"/>
  <c r="P25" i="7"/>
  <c r="Q25" i="7" s="1"/>
  <c r="S24" i="7"/>
  <c r="S14" i="7"/>
  <c r="P17" i="7"/>
  <c r="Q17" i="7" s="1"/>
  <c r="P18" i="7" s="1"/>
  <c r="Q18" i="7" s="1"/>
  <c r="P23" i="7"/>
  <c r="Q23" i="7" s="1"/>
  <c r="S23" i="7" s="1"/>
  <c r="S21" i="7"/>
  <c r="J20" i="7"/>
  <c r="K20" i="7" s="1"/>
  <c r="O20" i="7" s="1"/>
  <c r="J12" i="6"/>
  <c r="F7" i="6"/>
  <c r="H18" i="6" s="1"/>
  <c r="I18" i="6" s="1"/>
  <c r="H35" i="6" l="1"/>
  <c r="I35" i="6" s="1"/>
  <c r="S28" i="7"/>
  <c r="Q30" i="7"/>
  <c r="P31" i="7" s="1"/>
  <c r="Q31" i="7" s="1"/>
  <c r="S17" i="7"/>
  <c r="S25" i="7"/>
  <c r="P26" i="7"/>
  <c r="Q26" i="7" s="1"/>
  <c r="S26" i="7" s="1"/>
  <c r="S18" i="7"/>
  <c r="P20" i="7"/>
  <c r="Q20" i="7" s="1"/>
  <c r="S20" i="7" s="1"/>
  <c r="T14" i="7"/>
  <c r="H29" i="6"/>
  <c r="I29" i="6" s="1"/>
  <c r="H31" i="6"/>
  <c r="I31" i="6" s="1"/>
  <c r="H27" i="6"/>
  <c r="I27" i="6" s="1"/>
  <c r="H17" i="6"/>
  <c r="I17" i="6" s="1"/>
  <c r="H28" i="6"/>
  <c r="I28" i="6" s="1"/>
  <c r="H30" i="6"/>
  <c r="I30" i="6" s="1"/>
  <c r="H20" i="6"/>
  <c r="I20" i="6" s="1"/>
  <c r="H24" i="6"/>
  <c r="I24" i="6" s="1"/>
  <c r="H22" i="6"/>
  <c r="I22" i="6" s="1"/>
  <c r="H12" i="6"/>
  <c r="I12" i="6" s="1"/>
  <c r="M12" i="6" s="1"/>
  <c r="H21" i="6"/>
  <c r="I21" i="6" s="1"/>
  <c r="H32" i="6"/>
  <c r="I32" i="6" s="1"/>
  <c r="H15" i="6"/>
  <c r="I15" i="6" s="1"/>
  <c r="H16" i="6"/>
  <c r="I16" i="6" s="1"/>
  <c r="H25" i="6"/>
  <c r="I25" i="6" s="1"/>
  <c r="H14" i="6"/>
  <c r="I14" i="6" s="1"/>
  <c r="H23" i="6"/>
  <c r="I23" i="6" s="1"/>
  <c r="H26" i="6"/>
  <c r="I26" i="6" s="1"/>
  <c r="H13" i="6"/>
  <c r="I13" i="6" s="1"/>
  <c r="P32" i="7" l="1"/>
  <c r="S31" i="7"/>
  <c r="S30" i="7"/>
  <c r="Q32" i="7"/>
  <c r="P33" i="7" s="1"/>
  <c r="U14" i="7"/>
  <c r="H14" i="7"/>
  <c r="M17" i="6"/>
  <c r="H7" i="1"/>
  <c r="N11" i="1"/>
  <c r="X27" i="7" l="1"/>
  <c r="V32" i="7"/>
  <c r="Q33" i="7"/>
  <c r="P34" i="7" s="1"/>
  <c r="Q34" i="7" s="1"/>
  <c r="S32" i="7"/>
  <c r="L25" i="1"/>
  <c r="P35" i="7" l="1"/>
  <c r="Q35" i="7" s="1"/>
  <c r="S34" i="7"/>
  <c r="X28" i="7"/>
  <c r="X29" i="7" s="1"/>
  <c r="Y28" i="7" s="1"/>
  <c r="S33" i="7"/>
  <c r="V33" i="7"/>
  <c r="J24" i="1"/>
  <c r="J23" i="1"/>
  <c r="J12" i="1"/>
  <c r="J9" i="1"/>
  <c r="J8" i="1"/>
  <c r="L17" i="1"/>
  <c r="L16" i="1"/>
  <c r="L14" i="1"/>
  <c r="L13" i="1"/>
  <c r="S35" i="7" l="1"/>
  <c r="P36" i="7"/>
  <c r="Q36" i="7" s="1"/>
  <c r="L55" i="1"/>
  <c r="L54" i="1"/>
  <c r="L53" i="1"/>
  <c r="L52" i="1"/>
  <c r="L51" i="1"/>
  <c r="L50" i="1"/>
  <c r="L49" i="1"/>
  <c r="L48" i="1"/>
  <c r="L43" i="1"/>
  <c r="L42" i="1"/>
  <c r="L41" i="1"/>
  <c r="L40" i="1"/>
  <c r="L39" i="1"/>
  <c r="L37" i="1"/>
  <c r="L36" i="1"/>
  <c r="L35" i="1"/>
  <c r="L34" i="1"/>
  <c r="L32" i="1"/>
  <c r="L31" i="1"/>
  <c r="L30" i="1"/>
  <c r="L29" i="1"/>
  <c r="L28" i="1"/>
  <c r="L27" i="1"/>
  <c r="L26" i="1"/>
  <c r="O11" i="1"/>
  <c r="P37" i="7" l="1"/>
  <c r="Q37" i="7" s="1"/>
  <c r="S36" i="7"/>
  <c r="Y30" i="1"/>
  <c r="Y32" i="1" s="1"/>
  <c r="B55" i="5"/>
  <c r="C55" i="5"/>
  <c r="D55" i="5"/>
  <c r="H55" i="5"/>
  <c r="I55" i="5"/>
  <c r="J55" i="5"/>
  <c r="K55" i="5"/>
  <c r="B10" i="5"/>
  <c r="H10" i="5"/>
  <c r="I10" i="5"/>
  <c r="J10" i="5"/>
  <c r="K10" i="5"/>
  <c r="B11" i="5"/>
  <c r="C11" i="5"/>
  <c r="H11" i="5"/>
  <c r="I11" i="5"/>
  <c r="J11" i="5"/>
  <c r="K11" i="5"/>
  <c r="B12" i="5"/>
  <c r="C12" i="5"/>
  <c r="H12" i="5"/>
  <c r="I12" i="5"/>
  <c r="J12" i="5"/>
  <c r="K12" i="5"/>
  <c r="B13" i="5"/>
  <c r="C13" i="5"/>
  <c r="H13" i="5"/>
  <c r="I13" i="5"/>
  <c r="J13" i="5"/>
  <c r="K13" i="5"/>
  <c r="B14" i="5"/>
  <c r="C14" i="5"/>
  <c r="D14" i="5"/>
  <c r="H14" i="5"/>
  <c r="I14" i="5"/>
  <c r="J14" i="5"/>
  <c r="K14" i="5"/>
  <c r="B15" i="5"/>
  <c r="C15" i="5"/>
  <c r="H15" i="5"/>
  <c r="I15" i="5"/>
  <c r="J15" i="5"/>
  <c r="K15" i="5"/>
  <c r="B16" i="5"/>
  <c r="C16" i="5"/>
  <c r="D16" i="5"/>
  <c r="H16" i="5"/>
  <c r="I16" i="5"/>
  <c r="J16" i="5"/>
  <c r="K16" i="5"/>
  <c r="B17" i="5"/>
  <c r="C17" i="5"/>
  <c r="D17" i="5"/>
  <c r="H17" i="5"/>
  <c r="I17" i="5"/>
  <c r="J17" i="5"/>
  <c r="K17" i="5"/>
  <c r="B18" i="5"/>
  <c r="C18" i="5"/>
  <c r="H18" i="5"/>
  <c r="I18" i="5"/>
  <c r="J18" i="5"/>
  <c r="K18" i="5"/>
  <c r="B19" i="5"/>
  <c r="C19" i="5"/>
  <c r="H19" i="5"/>
  <c r="I19" i="5"/>
  <c r="J19" i="5"/>
  <c r="K19" i="5"/>
  <c r="B20" i="5"/>
  <c r="C20" i="5"/>
  <c r="H20" i="5"/>
  <c r="I20" i="5"/>
  <c r="J20" i="5"/>
  <c r="K20" i="5"/>
  <c r="B21" i="5"/>
  <c r="C21" i="5"/>
  <c r="H21" i="5"/>
  <c r="I21" i="5"/>
  <c r="J21" i="5"/>
  <c r="K21" i="5"/>
  <c r="B22" i="5"/>
  <c r="C22" i="5"/>
  <c r="H22" i="5"/>
  <c r="I22" i="5"/>
  <c r="J22" i="5"/>
  <c r="K22" i="5"/>
  <c r="B23" i="5"/>
  <c r="C23" i="5"/>
  <c r="H23" i="5"/>
  <c r="I23" i="5"/>
  <c r="J23" i="5"/>
  <c r="K23" i="5"/>
  <c r="B24" i="5"/>
  <c r="C24" i="5"/>
  <c r="H24" i="5"/>
  <c r="I24" i="5"/>
  <c r="J24" i="5"/>
  <c r="K24" i="5"/>
  <c r="B25" i="5"/>
  <c r="C25" i="5"/>
  <c r="H25" i="5"/>
  <c r="I25" i="5"/>
  <c r="J25" i="5"/>
  <c r="K25" i="5"/>
  <c r="B26" i="5"/>
  <c r="C26" i="5"/>
  <c r="H26" i="5"/>
  <c r="I26" i="5"/>
  <c r="J26" i="5"/>
  <c r="K26" i="5"/>
  <c r="B27" i="5"/>
  <c r="C27" i="5"/>
  <c r="H27" i="5"/>
  <c r="I27" i="5"/>
  <c r="J27" i="5"/>
  <c r="K27" i="5"/>
  <c r="B28" i="5"/>
  <c r="C28" i="5"/>
  <c r="H28" i="5"/>
  <c r="I28" i="5"/>
  <c r="J28" i="5"/>
  <c r="K28" i="5"/>
  <c r="B29" i="5"/>
  <c r="C29" i="5"/>
  <c r="H29" i="5"/>
  <c r="I29" i="5"/>
  <c r="J29" i="5"/>
  <c r="K29" i="5"/>
  <c r="B30" i="5"/>
  <c r="C30" i="5"/>
  <c r="H30" i="5"/>
  <c r="I30" i="5"/>
  <c r="J30" i="5"/>
  <c r="K30" i="5"/>
  <c r="B31" i="5"/>
  <c r="C31" i="5"/>
  <c r="H31" i="5"/>
  <c r="I31" i="5"/>
  <c r="J31" i="5"/>
  <c r="K31" i="5"/>
  <c r="B32" i="5"/>
  <c r="C32" i="5"/>
  <c r="H32" i="5"/>
  <c r="I32" i="5"/>
  <c r="J32" i="5"/>
  <c r="K32" i="5"/>
  <c r="B33" i="5"/>
  <c r="H33" i="5"/>
  <c r="I33" i="5"/>
  <c r="J33" i="5"/>
  <c r="K33" i="5"/>
  <c r="B34" i="5"/>
  <c r="H34" i="5"/>
  <c r="I34" i="5"/>
  <c r="J34" i="5"/>
  <c r="K34" i="5"/>
  <c r="B35" i="5"/>
  <c r="H35" i="5"/>
  <c r="I35" i="5"/>
  <c r="J35" i="5"/>
  <c r="K35" i="5"/>
  <c r="B36" i="5"/>
  <c r="H36" i="5"/>
  <c r="I36" i="5"/>
  <c r="J36" i="5"/>
  <c r="K36" i="5"/>
  <c r="B37" i="5"/>
  <c r="H37" i="5"/>
  <c r="I37" i="5"/>
  <c r="J37" i="5"/>
  <c r="K37" i="5"/>
  <c r="B38" i="5"/>
  <c r="H38" i="5"/>
  <c r="I38" i="5"/>
  <c r="J38" i="5"/>
  <c r="K38" i="5"/>
  <c r="B39" i="5"/>
  <c r="H39" i="5"/>
  <c r="I39" i="5"/>
  <c r="J39" i="5"/>
  <c r="K39" i="5"/>
  <c r="B40" i="5"/>
  <c r="H40" i="5"/>
  <c r="I40" i="5"/>
  <c r="J40" i="5"/>
  <c r="K40" i="5"/>
  <c r="B41" i="5"/>
  <c r="H41" i="5"/>
  <c r="I41" i="5"/>
  <c r="J41" i="5"/>
  <c r="K41" i="5"/>
  <c r="B42" i="5"/>
  <c r="H42" i="5"/>
  <c r="I42" i="5"/>
  <c r="J42" i="5"/>
  <c r="K42" i="5"/>
  <c r="B43" i="5"/>
  <c r="H43" i="5"/>
  <c r="I43" i="5"/>
  <c r="J43" i="5"/>
  <c r="K43" i="5"/>
  <c r="B44" i="5"/>
  <c r="H44" i="5"/>
  <c r="I44" i="5"/>
  <c r="J44" i="5"/>
  <c r="K44" i="5"/>
  <c r="B45" i="5"/>
  <c r="H45" i="5"/>
  <c r="I45" i="5"/>
  <c r="J45" i="5"/>
  <c r="K45" i="5"/>
  <c r="B46" i="5"/>
  <c r="H46" i="5"/>
  <c r="I46" i="5"/>
  <c r="J46" i="5"/>
  <c r="K46" i="5"/>
  <c r="B47" i="5"/>
  <c r="H47" i="5"/>
  <c r="I47" i="5"/>
  <c r="J47" i="5"/>
  <c r="K47" i="5"/>
  <c r="B48" i="5"/>
  <c r="H48" i="5"/>
  <c r="I48" i="5"/>
  <c r="J48" i="5"/>
  <c r="K48" i="5"/>
  <c r="B49" i="5"/>
  <c r="H49" i="5"/>
  <c r="I49" i="5"/>
  <c r="J49" i="5"/>
  <c r="K49" i="5"/>
  <c r="B50" i="5"/>
  <c r="H50" i="5"/>
  <c r="I50" i="5"/>
  <c r="J50" i="5"/>
  <c r="K50" i="5"/>
  <c r="B51" i="5"/>
  <c r="H51" i="5"/>
  <c r="I51" i="5"/>
  <c r="J51" i="5"/>
  <c r="K51" i="5"/>
  <c r="B52" i="5"/>
  <c r="H52" i="5"/>
  <c r="I52" i="5"/>
  <c r="J52" i="5"/>
  <c r="K52" i="5"/>
  <c r="B53" i="5"/>
  <c r="D53" i="5"/>
  <c r="H53" i="5"/>
  <c r="I53" i="5"/>
  <c r="J53" i="5"/>
  <c r="K53" i="5"/>
  <c r="B54" i="5"/>
  <c r="H54" i="5"/>
  <c r="I54" i="5"/>
  <c r="J54" i="5"/>
  <c r="K54" i="5"/>
  <c r="I54" i="3"/>
  <c r="I55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46" i="3"/>
  <c r="K47" i="3"/>
  <c r="K48" i="3"/>
  <c r="K49" i="3"/>
  <c r="K50" i="3"/>
  <c r="K51" i="3"/>
  <c r="K52" i="3"/>
  <c r="K53" i="3"/>
  <c r="K54" i="3"/>
  <c r="K55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K7" i="3"/>
  <c r="J7" i="3"/>
  <c r="L7" i="3" s="1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B8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53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6" i="2"/>
  <c r="C54" i="1"/>
  <c r="D54" i="5" s="1"/>
  <c r="C52" i="1"/>
  <c r="D52" i="5" s="1"/>
  <c r="C51" i="1"/>
  <c r="D51" i="5" s="1"/>
  <c r="C50" i="1"/>
  <c r="D50" i="5" s="1"/>
  <c r="C49" i="1"/>
  <c r="D49" i="5" s="1"/>
  <c r="C48" i="1"/>
  <c r="D48" i="5" s="1"/>
  <c r="C47" i="1"/>
  <c r="D47" i="5" s="1"/>
  <c r="C46" i="1"/>
  <c r="D46" i="5" s="1"/>
  <c r="C45" i="1"/>
  <c r="D45" i="5" s="1"/>
  <c r="C44" i="1"/>
  <c r="D44" i="5" s="1"/>
  <c r="C43" i="1"/>
  <c r="D43" i="5" s="1"/>
  <c r="C42" i="1"/>
  <c r="D42" i="5" s="1"/>
  <c r="C41" i="1"/>
  <c r="D41" i="5" s="1"/>
  <c r="C40" i="1"/>
  <c r="D40" i="5" s="1"/>
  <c r="C39" i="1"/>
  <c r="D39" i="5" s="1"/>
  <c r="C37" i="1"/>
  <c r="D37" i="5" s="1"/>
  <c r="C38" i="1"/>
  <c r="D38" i="5" s="1"/>
  <c r="C36" i="1"/>
  <c r="D36" i="5" s="1"/>
  <c r="C35" i="1"/>
  <c r="D35" i="5" s="1"/>
  <c r="C34" i="1"/>
  <c r="D34" i="5" s="1"/>
  <c r="C33" i="1"/>
  <c r="D33" i="5" s="1"/>
  <c r="C32" i="1"/>
  <c r="D32" i="5" s="1"/>
  <c r="C28" i="1"/>
  <c r="D28" i="5" s="1"/>
  <c r="C29" i="1"/>
  <c r="D29" i="5" s="1"/>
  <c r="C30" i="1"/>
  <c r="D30" i="5" s="1"/>
  <c r="C31" i="1"/>
  <c r="D31" i="5" s="1"/>
  <c r="C27" i="1"/>
  <c r="D27" i="5" s="1"/>
  <c r="C20" i="1"/>
  <c r="D20" i="5" s="1"/>
  <c r="C21" i="1"/>
  <c r="D21" i="5" s="1"/>
  <c r="C22" i="1"/>
  <c r="D22" i="5" s="1"/>
  <c r="C23" i="1"/>
  <c r="D23" i="5" s="1"/>
  <c r="C24" i="1"/>
  <c r="D24" i="5" s="1"/>
  <c r="C25" i="1"/>
  <c r="D25" i="5" s="1"/>
  <c r="C26" i="1"/>
  <c r="D26" i="5" s="1"/>
  <c r="C19" i="1"/>
  <c r="D19" i="5" s="1"/>
  <c r="C18" i="1"/>
  <c r="D18" i="5" s="1"/>
  <c r="C15" i="1"/>
  <c r="D15" i="5" s="1"/>
  <c r="C13" i="1"/>
  <c r="D13" i="5" s="1"/>
  <c r="C12" i="1"/>
  <c r="D12" i="5" s="1"/>
  <c r="B54" i="1"/>
  <c r="C54" i="5" s="1"/>
  <c r="N54" i="1"/>
  <c r="L54" i="5" s="1"/>
  <c r="O54" i="1"/>
  <c r="M54" i="5" s="1"/>
  <c r="B51" i="1"/>
  <c r="B52" i="1" s="1"/>
  <c r="C52" i="5" s="1"/>
  <c r="B49" i="1"/>
  <c r="B50" i="1" s="1"/>
  <c r="C50" i="5" s="1"/>
  <c r="B47" i="1"/>
  <c r="B48" i="1" s="1"/>
  <c r="C48" i="5" s="1"/>
  <c r="B45" i="1"/>
  <c r="B46" i="1" s="1"/>
  <c r="B45" i="2" s="1"/>
  <c r="B53" i="1"/>
  <c r="B52" i="2" s="1"/>
  <c r="B43" i="1"/>
  <c r="C43" i="5" s="1"/>
  <c r="N42" i="1"/>
  <c r="L42" i="5" s="1"/>
  <c r="O42" i="1"/>
  <c r="M42" i="5" s="1"/>
  <c r="B39" i="1"/>
  <c r="B40" i="1" s="1"/>
  <c r="C40" i="5" s="1"/>
  <c r="B41" i="1"/>
  <c r="B42" i="1" s="1"/>
  <c r="C42" i="5" s="1"/>
  <c r="B38" i="1"/>
  <c r="C38" i="5" s="1"/>
  <c r="N38" i="1"/>
  <c r="L38" i="5" s="1"/>
  <c r="O38" i="1"/>
  <c r="M38" i="5" s="1"/>
  <c r="B37" i="1"/>
  <c r="B36" i="2" s="1"/>
  <c r="B35" i="1"/>
  <c r="B36" i="1" s="1"/>
  <c r="B35" i="2" s="1"/>
  <c r="B33" i="1"/>
  <c r="C33" i="5" s="1"/>
  <c r="N14" i="1"/>
  <c r="L14" i="5" s="1"/>
  <c r="O14" i="1"/>
  <c r="M14" i="5" s="1"/>
  <c r="N15" i="1"/>
  <c r="L15" i="5" s="1"/>
  <c r="O15" i="1"/>
  <c r="M15" i="5" s="1"/>
  <c r="N16" i="1"/>
  <c r="L16" i="5" s="1"/>
  <c r="O16" i="1"/>
  <c r="M16" i="5" s="1"/>
  <c r="N17" i="1"/>
  <c r="L17" i="5" s="1"/>
  <c r="O17" i="1"/>
  <c r="M17" i="5" s="1"/>
  <c r="N18" i="1"/>
  <c r="L18" i="5" s="1"/>
  <c r="O18" i="1"/>
  <c r="M18" i="5" s="1"/>
  <c r="N19" i="1"/>
  <c r="L19" i="5" s="1"/>
  <c r="O19" i="1"/>
  <c r="M19" i="5" s="1"/>
  <c r="N20" i="1"/>
  <c r="L20" i="5" s="1"/>
  <c r="O20" i="1"/>
  <c r="M20" i="5" s="1"/>
  <c r="N21" i="1"/>
  <c r="L21" i="5" s="1"/>
  <c r="O21" i="1"/>
  <c r="M21" i="5" s="1"/>
  <c r="N22" i="1"/>
  <c r="L22" i="5" s="1"/>
  <c r="O22" i="1"/>
  <c r="M22" i="5" s="1"/>
  <c r="N23" i="1"/>
  <c r="L23" i="5" s="1"/>
  <c r="O23" i="1"/>
  <c r="M23" i="5" s="1"/>
  <c r="N24" i="1"/>
  <c r="L24" i="5" s="1"/>
  <c r="O24" i="1"/>
  <c r="M24" i="5" s="1"/>
  <c r="N25" i="1"/>
  <c r="L25" i="5" s="1"/>
  <c r="O25" i="1"/>
  <c r="M25" i="5" s="1"/>
  <c r="N26" i="1"/>
  <c r="L26" i="5" s="1"/>
  <c r="O26" i="1"/>
  <c r="M26" i="5" s="1"/>
  <c r="N27" i="1"/>
  <c r="L27" i="5" s="1"/>
  <c r="O27" i="1"/>
  <c r="M27" i="5" s="1"/>
  <c r="N28" i="1"/>
  <c r="L28" i="5" s="1"/>
  <c r="O28" i="1"/>
  <c r="M28" i="5" s="1"/>
  <c r="N29" i="1"/>
  <c r="L29" i="5" s="1"/>
  <c r="O29" i="1"/>
  <c r="M29" i="5" s="1"/>
  <c r="N30" i="1"/>
  <c r="L30" i="5" s="1"/>
  <c r="O30" i="1"/>
  <c r="M30" i="5" s="1"/>
  <c r="N31" i="1"/>
  <c r="L31" i="5" s="1"/>
  <c r="O31" i="1"/>
  <c r="M31" i="5" s="1"/>
  <c r="N32" i="1"/>
  <c r="L32" i="5" s="1"/>
  <c r="O32" i="1"/>
  <c r="M32" i="5" s="1"/>
  <c r="N33" i="1"/>
  <c r="L33" i="5" s="1"/>
  <c r="O33" i="1"/>
  <c r="M33" i="5" s="1"/>
  <c r="N34" i="1"/>
  <c r="L34" i="5" s="1"/>
  <c r="O34" i="1"/>
  <c r="M34" i="5" s="1"/>
  <c r="N35" i="1"/>
  <c r="L35" i="5" s="1"/>
  <c r="O35" i="1"/>
  <c r="M35" i="5" s="1"/>
  <c r="N36" i="1"/>
  <c r="L36" i="5" s="1"/>
  <c r="O36" i="1"/>
  <c r="M36" i="5" s="1"/>
  <c r="N37" i="1"/>
  <c r="L37" i="5" s="1"/>
  <c r="O37" i="1"/>
  <c r="M37" i="5" s="1"/>
  <c r="N39" i="1"/>
  <c r="L39" i="5" s="1"/>
  <c r="O39" i="1"/>
  <c r="M39" i="5" s="1"/>
  <c r="N40" i="1"/>
  <c r="L40" i="5" s="1"/>
  <c r="O40" i="1"/>
  <c r="M40" i="5" s="1"/>
  <c r="N41" i="1"/>
  <c r="L41" i="5" s="1"/>
  <c r="O41" i="1"/>
  <c r="M41" i="5" s="1"/>
  <c r="N43" i="1"/>
  <c r="L43" i="5" s="1"/>
  <c r="O43" i="1"/>
  <c r="M43" i="5" s="1"/>
  <c r="N44" i="1"/>
  <c r="L44" i="5" s="1"/>
  <c r="O44" i="1"/>
  <c r="M44" i="5" s="1"/>
  <c r="N53" i="1"/>
  <c r="L53" i="5" s="1"/>
  <c r="O53" i="1"/>
  <c r="M53" i="5" s="1"/>
  <c r="N45" i="1"/>
  <c r="L45" i="5" s="1"/>
  <c r="O45" i="1"/>
  <c r="M45" i="5" s="1"/>
  <c r="N46" i="1"/>
  <c r="L46" i="5" s="1"/>
  <c r="O46" i="1"/>
  <c r="M46" i="5" s="1"/>
  <c r="N47" i="1"/>
  <c r="L47" i="5" s="1"/>
  <c r="O47" i="1"/>
  <c r="M47" i="5" s="1"/>
  <c r="N48" i="1"/>
  <c r="L48" i="5" s="1"/>
  <c r="O48" i="1"/>
  <c r="M48" i="5" s="1"/>
  <c r="N49" i="1"/>
  <c r="O49" i="1"/>
  <c r="M49" i="5" s="1"/>
  <c r="N50" i="1"/>
  <c r="L50" i="5" s="1"/>
  <c r="O50" i="1"/>
  <c r="M50" i="5" s="1"/>
  <c r="N51" i="1"/>
  <c r="L51" i="5" s="1"/>
  <c r="O51" i="1"/>
  <c r="M51" i="5" s="1"/>
  <c r="N52" i="1"/>
  <c r="L52" i="5" s="1"/>
  <c r="O52" i="1"/>
  <c r="M52" i="5" s="1"/>
  <c r="S37" i="7" l="1"/>
  <c r="P38" i="7"/>
  <c r="Q38" i="7" s="1"/>
  <c r="B41" i="2"/>
  <c r="B37" i="2"/>
  <c r="C36" i="5"/>
  <c r="C46" i="5"/>
  <c r="B44" i="1"/>
  <c r="C37" i="5"/>
  <c r="C35" i="5"/>
  <c r="B49" i="2"/>
  <c r="B42" i="2"/>
  <c r="B51" i="2"/>
  <c r="D33" i="1"/>
  <c r="B50" i="2"/>
  <c r="B34" i="2"/>
  <c r="C47" i="5"/>
  <c r="D45" i="1"/>
  <c r="E45" i="5" s="1"/>
  <c r="B48" i="2"/>
  <c r="B40" i="2"/>
  <c r="B32" i="2"/>
  <c r="B47" i="2"/>
  <c r="B39" i="2"/>
  <c r="B46" i="2"/>
  <c r="B38" i="2"/>
  <c r="C53" i="5"/>
  <c r="C51" i="5"/>
  <c r="C41" i="5"/>
  <c r="C49" i="5"/>
  <c r="C39" i="5"/>
  <c r="B44" i="2"/>
  <c r="C45" i="5"/>
  <c r="P49" i="1"/>
  <c r="D48" i="2" s="1"/>
  <c r="L49" i="5"/>
  <c r="B31" i="3"/>
  <c r="B54" i="3"/>
  <c r="B46" i="3"/>
  <c r="B38" i="3"/>
  <c r="B30" i="3"/>
  <c r="B22" i="3"/>
  <c r="B14" i="3"/>
  <c r="B7" i="3"/>
  <c r="B40" i="3"/>
  <c r="B32" i="3"/>
  <c r="B8" i="3"/>
  <c r="B55" i="3"/>
  <c r="B47" i="3"/>
  <c r="B39" i="3"/>
  <c r="B23" i="3"/>
  <c r="B15" i="3"/>
  <c r="B53" i="3"/>
  <c r="B45" i="3"/>
  <c r="B37" i="3"/>
  <c r="B29" i="3"/>
  <c r="B21" i="3"/>
  <c r="B13" i="3"/>
  <c r="B36" i="3"/>
  <c r="B24" i="3"/>
  <c r="B52" i="3"/>
  <c r="B44" i="3"/>
  <c r="B28" i="3"/>
  <c r="B20" i="3"/>
  <c r="B12" i="3"/>
  <c r="B51" i="3"/>
  <c r="B43" i="3"/>
  <c r="B35" i="3"/>
  <c r="B27" i="3"/>
  <c r="B19" i="3"/>
  <c r="B11" i="3"/>
  <c r="B48" i="3"/>
  <c r="B16" i="3"/>
  <c r="B50" i="3"/>
  <c r="B42" i="3"/>
  <c r="B34" i="3"/>
  <c r="B26" i="3"/>
  <c r="B18" i="3"/>
  <c r="B10" i="3"/>
  <c r="B49" i="3"/>
  <c r="B41" i="3"/>
  <c r="B33" i="3"/>
  <c r="B25" i="3"/>
  <c r="B17" i="3"/>
  <c r="B9" i="3"/>
  <c r="P26" i="1"/>
  <c r="P32" i="1"/>
  <c r="H33" i="3" s="1"/>
  <c r="P27" i="1"/>
  <c r="P22" i="1"/>
  <c r="P19" i="1"/>
  <c r="P54" i="1"/>
  <c r="D46" i="1"/>
  <c r="E46" i="5" s="1"/>
  <c r="P46" i="1"/>
  <c r="H47" i="3" s="1"/>
  <c r="P23" i="1"/>
  <c r="P31" i="1"/>
  <c r="P45" i="1"/>
  <c r="P42" i="1"/>
  <c r="P17" i="1"/>
  <c r="P15" i="1"/>
  <c r="P14" i="1"/>
  <c r="P52" i="1"/>
  <c r="P18" i="1"/>
  <c r="P16" i="1"/>
  <c r="P43" i="1"/>
  <c r="P30" i="1"/>
  <c r="P51" i="1"/>
  <c r="P50" i="1"/>
  <c r="P48" i="1"/>
  <c r="P28" i="1"/>
  <c r="P53" i="1"/>
  <c r="P24" i="1"/>
  <c r="H25" i="3" s="1"/>
  <c r="P20" i="1"/>
  <c r="P47" i="1"/>
  <c r="H48" i="3" s="1"/>
  <c r="P33" i="1"/>
  <c r="P29" i="1"/>
  <c r="P44" i="1"/>
  <c r="P25" i="1"/>
  <c r="P35" i="1"/>
  <c r="P21" i="1"/>
  <c r="P38" i="1"/>
  <c r="H39" i="3" s="1"/>
  <c r="B34" i="1"/>
  <c r="P36" i="1"/>
  <c r="P41" i="1"/>
  <c r="P37" i="1"/>
  <c r="H38" i="3" s="1"/>
  <c r="P40" i="1"/>
  <c r="P39" i="1"/>
  <c r="H40" i="3" s="1"/>
  <c r="B10" i="1"/>
  <c r="B8" i="1"/>
  <c r="B7" i="2" s="1"/>
  <c r="C11" i="1"/>
  <c r="C10" i="1"/>
  <c r="D10" i="5" s="1"/>
  <c r="C9" i="1"/>
  <c r="C8" i="1"/>
  <c r="C7" i="1"/>
  <c r="D7" i="1" s="1"/>
  <c r="N7" i="1"/>
  <c r="O7" i="1"/>
  <c r="N55" i="1"/>
  <c r="L55" i="5" s="1"/>
  <c r="I11" i="3"/>
  <c r="A54" i="2"/>
  <c r="B54" i="2"/>
  <c r="N54" i="2"/>
  <c r="O55" i="1"/>
  <c r="M55" i="5" s="1"/>
  <c r="I7" i="3"/>
  <c r="P39" i="7" l="1"/>
  <c r="Q39" i="7" s="1"/>
  <c r="S38" i="7"/>
  <c r="H34" i="3"/>
  <c r="B43" i="2"/>
  <c r="C44" i="5"/>
  <c r="H46" i="3"/>
  <c r="D45" i="2"/>
  <c r="N46" i="5"/>
  <c r="D43" i="2"/>
  <c r="N44" i="5"/>
  <c r="H45" i="3"/>
  <c r="D17" i="2"/>
  <c r="N18" i="5"/>
  <c r="D32" i="2"/>
  <c r="N33" i="5"/>
  <c r="H19" i="3"/>
  <c r="D11" i="1"/>
  <c r="D11" i="5"/>
  <c r="D37" i="2"/>
  <c r="N38" i="5"/>
  <c r="D44" i="2"/>
  <c r="N45" i="5"/>
  <c r="C34" i="5"/>
  <c r="B33" i="2"/>
  <c r="B9" i="2"/>
  <c r="C10" i="5"/>
  <c r="D46" i="2"/>
  <c r="N47" i="5"/>
  <c r="D34" i="1"/>
  <c r="E34" i="5" s="1"/>
  <c r="E33" i="5"/>
  <c r="D16" i="2"/>
  <c r="N17" i="5"/>
  <c r="H18" i="3"/>
  <c r="D15" i="2"/>
  <c r="N16" i="5"/>
  <c r="H17" i="3"/>
  <c r="D14" i="2"/>
  <c r="N15" i="5"/>
  <c r="H16" i="3"/>
  <c r="D13" i="2"/>
  <c r="N14" i="5"/>
  <c r="H15" i="3"/>
  <c r="D53" i="2"/>
  <c r="H55" i="3"/>
  <c r="N54" i="5"/>
  <c r="D52" i="2"/>
  <c r="H54" i="3"/>
  <c r="N53" i="5"/>
  <c r="D51" i="2"/>
  <c r="N52" i="5"/>
  <c r="H53" i="3"/>
  <c r="D50" i="2"/>
  <c r="N51" i="5"/>
  <c r="H52" i="3"/>
  <c r="D49" i="2"/>
  <c r="H51" i="3"/>
  <c r="N50" i="5"/>
  <c r="H50" i="3"/>
  <c r="N49" i="5"/>
  <c r="D47" i="2"/>
  <c r="N48" i="5"/>
  <c r="H49" i="3"/>
  <c r="D42" i="2"/>
  <c r="N43" i="5"/>
  <c r="H44" i="3"/>
  <c r="D41" i="2"/>
  <c r="H43" i="3"/>
  <c r="N42" i="5"/>
  <c r="D40" i="2"/>
  <c r="H42" i="3"/>
  <c r="N41" i="5"/>
  <c r="D39" i="2"/>
  <c r="N40" i="5"/>
  <c r="H41" i="3"/>
  <c r="D38" i="2"/>
  <c r="N39" i="5"/>
  <c r="D36" i="2"/>
  <c r="N37" i="5"/>
  <c r="D35" i="2"/>
  <c r="H37" i="3"/>
  <c r="N36" i="5"/>
  <c r="D34" i="2"/>
  <c r="H36" i="3"/>
  <c r="N35" i="5"/>
  <c r="D31" i="2"/>
  <c r="N32" i="5"/>
  <c r="D30" i="2"/>
  <c r="N31" i="5"/>
  <c r="H32" i="3"/>
  <c r="D29" i="2"/>
  <c r="N30" i="5"/>
  <c r="H31" i="3"/>
  <c r="D28" i="2"/>
  <c r="N29" i="5"/>
  <c r="H30" i="3"/>
  <c r="D27" i="2"/>
  <c r="H29" i="3"/>
  <c r="N28" i="5"/>
  <c r="D26" i="2"/>
  <c r="H28" i="3"/>
  <c r="N27" i="5"/>
  <c r="D25" i="2"/>
  <c r="N26" i="5"/>
  <c r="H27" i="3"/>
  <c r="D24" i="2"/>
  <c r="N25" i="5"/>
  <c r="H26" i="3"/>
  <c r="D23" i="2"/>
  <c r="N24" i="5"/>
  <c r="D22" i="2"/>
  <c r="N23" i="5"/>
  <c r="H24" i="3"/>
  <c r="D21" i="2"/>
  <c r="N22" i="5"/>
  <c r="H23" i="3"/>
  <c r="D20" i="2"/>
  <c r="N21" i="5"/>
  <c r="H22" i="3"/>
  <c r="D19" i="2"/>
  <c r="N20" i="5"/>
  <c r="H21" i="3"/>
  <c r="D18" i="2"/>
  <c r="H20" i="3"/>
  <c r="N19" i="5"/>
  <c r="P34" i="1"/>
  <c r="P7" i="1"/>
  <c r="H8" i="3" s="1"/>
  <c r="I7" i="1"/>
  <c r="P55" i="1"/>
  <c r="N55" i="5" s="1"/>
  <c r="S39" i="7" l="1"/>
  <c r="P40" i="7"/>
  <c r="Q40" i="7" s="1"/>
  <c r="S40" i="7" s="1"/>
  <c r="E11" i="5"/>
  <c r="D12" i="1"/>
  <c r="E12" i="5" s="1"/>
  <c r="D33" i="2"/>
  <c r="N34" i="5"/>
  <c r="H35" i="3"/>
  <c r="D54" i="2"/>
  <c r="I10" i="3" l="1"/>
  <c r="I9" i="3"/>
  <c r="I8" i="3"/>
  <c r="D8" i="1"/>
  <c r="D9" i="1" s="1"/>
  <c r="D10" i="1" s="1"/>
  <c r="E10" i="5" s="1"/>
  <c r="D13" i="1" l="1"/>
  <c r="N6" i="2"/>
  <c r="D14" i="1" l="1"/>
  <c r="E13" i="5"/>
  <c r="H8" i="5"/>
  <c r="I8" i="5"/>
  <c r="J8" i="5"/>
  <c r="K8" i="5"/>
  <c r="H9" i="5"/>
  <c r="I9" i="5"/>
  <c r="J9" i="5"/>
  <c r="K9" i="5"/>
  <c r="D9" i="5"/>
  <c r="C8" i="5"/>
  <c r="C9" i="5"/>
  <c r="B8" i="5"/>
  <c r="B9" i="5"/>
  <c r="N7" i="2"/>
  <c r="N8" i="2"/>
  <c r="N9" i="2"/>
  <c r="N10" i="2"/>
  <c r="O8" i="1"/>
  <c r="M8" i="5" s="1"/>
  <c r="O9" i="1"/>
  <c r="M9" i="5" s="1"/>
  <c r="O10" i="1"/>
  <c r="M10" i="5" s="1"/>
  <c r="M11" i="5"/>
  <c r="O12" i="1"/>
  <c r="M12" i="5" s="1"/>
  <c r="O13" i="1"/>
  <c r="M13" i="5" s="1"/>
  <c r="N8" i="1"/>
  <c r="L8" i="5" s="1"/>
  <c r="N9" i="1"/>
  <c r="N10" i="1"/>
  <c r="L10" i="5" s="1"/>
  <c r="L11" i="5"/>
  <c r="N12" i="1"/>
  <c r="L12" i="5" s="1"/>
  <c r="N13" i="1"/>
  <c r="L13" i="5" s="1"/>
  <c r="D8" i="5"/>
  <c r="K7" i="5"/>
  <c r="J7" i="5"/>
  <c r="I7" i="5"/>
  <c r="H7" i="5"/>
  <c r="F7" i="5"/>
  <c r="E7" i="5"/>
  <c r="D7" i="5"/>
  <c r="C7" i="5"/>
  <c r="B7" i="5"/>
  <c r="B6" i="2"/>
  <c r="D15" i="1" l="1"/>
  <c r="E14" i="5"/>
  <c r="P13" i="1"/>
  <c r="P11" i="1"/>
  <c r="P9" i="1"/>
  <c r="P8" i="1"/>
  <c r="E8" i="5"/>
  <c r="P12" i="1"/>
  <c r="P10" i="1"/>
  <c r="L9" i="5"/>
  <c r="M7" i="5"/>
  <c r="L7" i="5"/>
  <c r="E15" i="5" l="1"/>
  <c r="D16" i="1"/>
  <c r="N13" i="5"/>
  <c r="H14" i="3"/>
  <c r="D11" i="2"/>
  <c r="N12" i="5"/>
  <c r="H13" i="3"/>
  <c r="N11" i="5"/>
  <c r="H12" i="3"/>
  <c r="D9" i="2"/>
  <c r="N10" i="5"/>
  <c r="D12" i="2"/>
  <c r="D10" i="2"/>
  <c r="N8" i="5"/>
  <c r="H9" i="3"/>
  <c r="N9" i="5"/>
  <c r="H10" i="3"/>
  <c r="H11" i="3"/>
  <c r="D7" i="2"/>
  <c r="D8" i="2"/>
  <c r="C6" i="2"/>
  <c r="G7" i="5"/>
  <c r="D17" i="1" l="1"/>
  <c r="E16" i="5"/>
  <c r="D6" i="2"/>
  <c r="F6" i="2" s="1"/>
  <c r="E9" i="5"/>
  <c r="N7" i="5"/>
  <c r="D18" i="1" l="1"/>
  <c r="E17" i="5"/>
  <c r="G6" i="2"/>
  <c r="V6" i="2" s="1"/>
  <c r="D19" i="1" l="1"/>
  <c r="E18" i="5"/>
  <c r="I6" i="2"/>
  <c r="O7" i="5"/>
  <c r="O6" i="2"/>
  <c r="G7" i="3" s="1"/>
  <c r="E7" i="3" s="1"/>
  <c r="M6" i="2"/>
  <c r="S6" i="2" s="1"/>
  <c r="J6" i="2"/>
  <c r="D20" i="1" l="1"/>
  <c r="E19" i="5"/>
  <c r="P6" i="2"/>
  <c r="K6" i="2"/>
  <c r="L6" i="2" s="1"/>
  <c r="Q6" i="2"/>
  <c r="R7" i="5" s="1"/>
  <c r="R6" i="2"/>
  <c r="S7" i="5" s="1"/>
  <c r="D21" i="1" l="1"/>
  <c r="E20" i="5"/>
  <c r="Q7" i="5"/>
  <c r="Q7" i="1"/>
  <c r="T6" i="2"/>
  <c r="D22" i="1" l="1"/>
  <c r="E21" i="5"/>
  <c r="E8" i="1"/>
  <c r="H8" i="1" s="1"/>
  <c r="P7" i="5"/>
  <c r="D23" i="1" l="1"/>
  <c r="E22" i="5"/>
  <c r="I8" i="1"/>
  <c r="F8" i="5"/>
  <c r="D24" i="1" l="1"/>
  <c r="E23" i="5"/>
  <c r="C7" i="2"/>
  <c r="G8" i="5"/>
  <c r="D25" i="1" l="1"/>
  <c r="E24" i="5"/>
  <c r="F7" i="2"/>
  <c r="G7" i="2" s="1"/>
  <c r="V7" i="2" s="1"/>
  <c r="D26" i="1" l="1"/>
  <c r="E25" i="5"/>
  <c r="I7" i="2"/>
  <c r="O8" i="5"/>
  <c r="J7" i="2"/>
  <c r="M7" i="2"/>
  <c r="S7" i="2" s="1"/>
  <c r="O7" i="2"/>
  <c r="G8" i="3" s="1"/>
  <c r="D27" i="1" l="1"/>
  <c r="E26" i="5"/>
  <c r="E8" i="3"/>
  <c r="D8" i="3"/>
  <c r="K7" i="2"/>
  <c r="L7" i="2" s="1"/>
  <c r="P7" i="2"/>
  <c r="R7" i="2"/>
  <c r="S8" i="5" s="1"/>
  <c r="Q7" i="2"/>
  <c r="R8" i="5" s="1"/>
  <c r="D28" i="1" l="1"/>
  <c r="E27" i="5"/>
  <c r="Q8" i="5"/>
  <c r="T7" i="2"/>
  <c r="Q8" i="1"/>
  <c r="R8" i="1" s="1"/>
  <c r="D29" i="1" l="1"/>
  <c r="E28" i="5"/>
  <c r="E9" i="1"/>
  <c r="P8" i="5"/>
  <c r="H9" i="1" l="1"/>
  <c r="D30" i="1"/>
  <c r="E29" i="5"/>
  <c r="I9" i="1"/>
  <c r="F9" i="5"/>
  <c r="D31" i="1" l="1"/>
  <c r="E30" i="5"/>
  <c r="G9" i="5"/>
  <c r="C8" i="2"/>
  <c r="F8" i="2" s="1"/>
  <c r="G8" i="2" s="1"/>
  <c r="V8" i="2" s="1"/>
  <c r="D32" i="1" l="1"/>
  <c r="E31" i="5"/>
  <c r="M8" i="2"/>
  <c r="S8" i="2" s="1"/>
  <c r="J8" i="2"/>
  <c r="O8" i="2"/>
  <c r="G9" i="3" s="1"/>
  <c r="I8" i="2"/>
  <c r="O9" i="5"/>
  <c r="D35" i="1" l="1"/>
  <c r="E32" i="5"/>
  <c r="E9" i="3"/>
  <c r="D9" i="3"/>
  <c r="P8" i="2"/>
  <c r="K8" i="2"/>
  <c r="L8" i="2" s="1"/>
  <c r="Q8" i="2"/>
  <c r="R9" i="5" s="1"/>
  <c r="R8" i="2"/>
  <c r="S9" i="5" s="1"/>
  <c r="D36" i="1" l="1"/>
  <c r="E35" i="5"/>
  <c r="T8" i="2"/>
  <c r="Q9" i="1"/>
  <c r="R9" i="1" s="1"/>
  <c r="E10" i="1" s="1"/>
  <c r="Q9" i="5"/>
  <c r="D37" i="1" l="1"/>
  <c r="E36" i="5"/>
  <c r="P9" i="5"/>
  <c r="H10" i="1"/>
  <c r="E37" i="5" l="1"/>
  <c r="D38" i="1"/>
  <c r="E38" i="5" s="1"/>
  <c r="D39" i="1"/>
  <c r="I10" i="1"/>
  <c r="F10" i="5"/>
  <c r="D40" i="1" l="1"/>
  <c r="E39" i="5"/>
  <c r="C9" i="2"/>
  <c r="G10" i="5"/>
  <c r="D41" i="1" l="1"/>
  <c r="E40" i="5"/>
  <c r="F9" i="2"/>
  <c r="G9" i="2" s="1"/>
  <c r="V9" i="2" s="1"/>
  <c r="D42" i="1" l="1"/>
  <c r="E41" i="5"/>
  <c r="M9" i="2"/>
  <c r="S9" i="2" s="1"/>
  <c r="O9" i="2"/>
  <c r="G10" i="3" s="1"/>
  <c r="J9" i="2"/>
  <c r="O10" i="5"/>
  <c r="I9" i="2"/>
  <c r="D43" i="1" l="1"/>
  <c r="E42" i="5"/>
  <c r="Q9" i="2"/>
  <c r="R10" i="5" s="1"/>
  <c r="R9" i="2"/>
  <c r="S10" i="5" s="1"/>
  <c r="E10" i="3"/>
  <c r="D10" i="3"/>
  <c r="K9" i="2"/>
  <c r="L9" i="2" s="1"/>
  <c r="P9" i="2"/>
  <c r="D44" i="1" l="1"/>
  <c r="E43" i="5"/>
  <c r="Q10" i="5"/>
  <c r="T9" i="2"/>
  <c r="Q10" i="1"/>
  <c r="R10" i="1" s="1"/>
  <c r="P10" i="5" l="1"/>
  <c r="E11" i="1"/>
  <c r="D47" i="1"/>
  <c r="D53" i="1"/>
  <c r="E44" i="5"/>
  <c r="H11" i="1" l="1"/>
  <c r="I11" i="1" s="1"/>
  <c r="F11" i="5"/>
  <c r="E53" i="5"/>
  <c r="D54" i="1"/>
  <c r="D48" i="1"/>
  <c r="E47" i="5"/>
  <c r="C10" i="2" l="1"/>
  <c r="G11" i="5"/>
  <c r="D49" i="1"/>
  <c r="E48" i="5"/>
  <c r="D55" i="1"/>
  <c r="E55" i="5" s="1"/>
  <c r="E54" i="5"/>
  <c r="F10" i="2" l="1"/>
  <c r="G10" i="2" s="1"/>
  <c r="V10" i="2" s="1"/>
  <c r="D50" i="1"/>
  <c r="E49" i="5"/>
  <c r="O10" i="2" l="1"/>
  <c r="G11" i="3" s="1"/>
  <c r="O11" i="5"/>
  <c r="M10" i="2"/>
  <c r="S10" i="2" s="1"/>
  <c r="I10" i="2"/>
  <c r="J10" i="2"/>
  <c r="D51" i="1"/>
  <c r="E50" i="5"/>
  <c r="K10" i="2" l="1"/>
  <c r="L10" i="2" s="1"/>
  <c r="P10" i="2"/>
  <c r="Q10" i="2"/>
  <c r="R11" i="5" s="1"/>
  <c r="R10" i="2"/>
  <c r="S11" i="5" s="1"/>
  <c r="D11" i="3"/>
  <c r="E11" i="3"/>
  <c r="D52" i="1"/>
  <c r="E52" i="5" s="1"/>
  <c r="E51" i="5"/>
  <c r="Q11" i="5" l="1"/>
  <c r="Q11" i="1"/>
  <c r="R11" i="1" s="1"/>
  <c r="T10" i="2"/>
  <c r="P11" i="5" l="1"/>
  <c r="E12" i="1"/>
  <c r="H12" i="1" l="1"/>
  <c r="I12" i="1" s="1"/>
  <c r="F12" i="5"/>
  <c r="C11" i="2" l="1"/>
  <c r="G12" i="5"/>
  <c r="F11" i="2" l="1"/>
  <c r="G11" i="2" s="1"/>
  <c r="V11" i="2" s="1"/>
  <c r="J11" i="2" l="1"/>
  <c r="M11" i="2"/>
  <c r="S11" i="2" s="1"/>
  <c r="O11" i="2"/>
  <c r="G12" i="3" s="1"/>
  <c r="I11" i="2"/>
  <c r="O12" i="5"/>
  <c r="Q11" i="2" l="1"/>
  <c r="R12" i="5" s="1"/>
  <c r="R11" i="2"/>
  <c r="S12" i="5" s="1"/>
  <c r="E12" i="3"/>
  <c r="D12" i="3"/>
  <c r="K11" i="2"/>
  <c r="L11" i="2" s="1"/>
  <c r="P11" i="2"/>
  <c r="T11" i="2" l="1"/>
  <c r="Q12" i="1"/>
  <c r="R12" i="1" s="1"/>
  <c r="Q12" i="5"/>
  <c r="P12" i="5" l="1"/>
  <c r="E13" i="1"/>
  <c r="H13" i="1" l="1"/>
  <c r="I13" i="1" s="1"/>
  <c r="F13" i="5"/>
  <c r="G13" i="5" l="1"/>
  <c r="C12" i="2"/>
  <c r="F12" i="2" l="1"/>
  <c r="G12" i="2" s="1"/>
  <c r="V12" i="2" s="1"/>
  <c r="J12" i="2" l="1"/>
  <c r="M12" i="2"/>
  <c r="S12" i="2" s="1"/>
  <c r="O12" i="2"/>
  <c r="G13" i="3" s="1"/>
  <c r="O13" i="5"/>
  <c r="I12" i="2"/>
  <c r="R12" i="2" l="1"/>
  <c r="S13" i="5" s="1"/>
  <c r="Q12" i="2"/>
  <c r="R13" i="5" s="1"/>
  <c r="D13" i="3"/>
  <c r="E13" i="3"/>
  <c r="K12" i="2"/>
  <c r="L12" i="2" s="1"/>
  <c r="P12" i="2"/>
  <c r="Q13" i="5" l="1"/>
  <c r="Q13" i="1"/>
  <c r="R13" i="1" s="1"/>
  <c r="T12" i="2"/>
  <c r="P13" i="5" l="1"/>
  <c r="E14" i="1"/>
  <c r="H14" i="1" l="1"/>
  <c r="I14" i="1" s="1"/>
  <c r="F14" i="5"/>
  <c r="C13" i="2" l="1"/>
  <c r="G14" i="5"/>
  <c r="F13" i="2" l="1"/>
  <c r="G13" i="2" s="1"/>
  <c r="V13" i="2" s="1"/>
  <c r="M13" i="2" l="1"/>
  <c r="S13" i="2" s="1"/>
  <c r="O14" i="5"/>
  <c r="O13" i="2"/>
  <c r="G14" i="3" s="1"/>
  <c r="I13" i="2"/>
  <c r="J13" i="2"/>
  <c r="K13" i="2" l="1"/>
  <c r="L13" i="2" s="1"/>
  <c r="P13" i="2"/>
  <c r="E14" i="3"/>
  <c r="D14" i="3"/>
  <c r="Q13" i="2"/>
  <c r="R14" i="5" s="1"/>
  <c r="R13" i="2"/>
  <c r="S14" i="5" s="1"/>
  <c r="T13" i="2" l="1"/>
  <c r="Q14" i="1"/>
  <c r="R14" i="1" s="1"/>
  <c r="Q14" i="5"/>
  <c r="P14" i="5" l="1"/>
  <c r="E15" i="1"/>
  <c r="H15" i="1" l="1"/>
  <c r="I15" i="1" s="1"/>
  <c r="F15" i="5"/>
  <c r="C14" i="2" l="1"/>
  <c r="G15" i="5"/>
  <c r="F14" i="2" l="1"/>
  <c r="G14" i="2" s="1"/>
  <c r="V14" i="2" s="1"/>
  <c r="O15" i="5" l="1"/>
  <c r="J14" i="2"/>
  <c r="I14" i="2"/>
  <c r="M14" i="2"/>
  <c r="S14" i="2" s="1"/>
  <c r="O14" i="2"/>
  <c r="G15" i="3" s="1"/>
  <c r="E15" i="3" l="1"/>
  <c r="D15" i="3"/>
  <c r="Q14" i="2"/>
  <c r="R15" i="5" s="1"/>
  <c r="R14" i="2"/>
  <c r="S15" i="5" s="1"/>
  <c r="K14" i="2"/>
  <c r="L14" i="2" s="1"/>
  <c r="P14" i="2"/>
  <c r="Q15" i="1" l="1"/>
  <c r="R15" i="1" s="1"/>
  <c r="Q15" i="5"/>
  <c r="T14" i="2"/>
  <c r="P15" i="5" l="1"/>
  <c r="E16" i="1"/>
  <c r="H16" i="1" l="1"/>
  <c r="I16" i="1" s="1"/>
  <c r="F16" i="5"/>
  <c r="G16" i="5" l="1"/>
  <c r="C15" i="2"/>
  <c r="F15" i="2" l="1"/>
  <c r="G15" i="2" s="1"/>
  <c r="V15" i="2" s="1"/>
  <c r="M15" i="2" l="1"/>
  <c r="S15" i="2" s="1"/>
  <c r="I15" i="2"/>
  <c r="O15" i="2"/>
  <c r="G16" i="3" s="1"/>
  <c r="O16" i="5"/>
  <c r="J15" i="2"/>
  <c r="K15" i="2" l="1"/>
  <c r="L15" i="2" s="1"/>
  <c r="P15" i="2"/>
  <c r="Q15" i="2"/>
  <c r="R16" i="5" s="1"/>
  <c r="R15" i="2"/>
  <c r="S16" i="5" s="1"/>
  <c r="E16" i="3"/>
  <c r="D16" i="3"/>
  <c r="Q16" i="5" l="1"/>
  <c r="T15" i="2"/>
  <c r="Q16" i="1"/>
  <c r="R16" i="1" s="1"/>
  <c r="P16" i="5" l="1"/>
  <c r="E17" i="1"/>
  <c r="H17" i="1" l="1"/>
  <c r="I17" i="1" s="1"/>
  <c r="F17" i="5"/>
  <c r="G17" i="5" l="1"/>
  <c r="C16" i="2"/>
  <c r="F16" i="2" l="1"/>
  <c r="G16" i="2" s="1"/>
  <c r="V16" i="2" s="1"/>
  <c r="I16" i="2" l="1"/>
  <c r="J16" i="2"/>
  <c r="M16" i="2"/>
  <c r="S16" i="2" s="1"/>
  <c r="O16" i="2"/>
  <c r="G17" i="3" s="1"/>
  <c r="O17" i="5"/>
  <c r="D17" i="3" l="1"/>
  <c r="E17" i="3"/>
  <c r="K16" i="2"/>
  <c r="L16" i="2" s="1"/>
  <c r="P16" i="2"/>
  <c r="R16" i="2"/>
  <c r="S17" i="5" s="1"/>
  <c r="Q16" i="2"/>
  <c r="R17" i="5" s="1"/>
  <c r="T16" i="2" l="1"/>
  <c r="Q17" i="1"/>
  <c r="R17" i="1" s="1"/>
  <c r="Q17" i="5"/>
  <c r="P17" i="5" l="1"/>
  <c r="E18" i="1"/>
  <c r="H18" i="1" l="1"/>
  <c r="I18" i="1" s="1"/>
  <c r="F18" i="5"/>
  <c r="G18" i="5" l="1"/>
  <c r="C17" i="2"/>
  <c r="F17" i="2" l="1"/>
  <c r="G17" i="2" s="1"/>
  <c r="V17" i="2" s="1"/>
  <c r="O18" i="5" l="1"/>
  <c r="I17" i="2"/>
  <c r="M17" i="2"/>
  <c r="S17" i="2" s="1"/>
  <c r="O17" i="2"/>
  <c r="G18" i="3" s="1"/>
  <c r="J17" i="2"/>
  <c r="K17" i="2" l="1"/>
  <c r="L17" i="2" s="1"/>
  <c r="P17" i="2"/>
  <c r="D18" i="3"/>
  <c r="E18" i="3"/>
  <c r="R17" i="2"/>
  <c r="S18" i="5" s="1"/>
  <c r="Q17" i="2"/>
  <c r="R18" i="5" s="1"/>
  <c r="Q18" i="1" l="1"/>
  <c r="R18" i="1" s="1"/>
  <c r="T17" i="2"/>
  <c r="Q18" i="5"/>
  <c r="P18" i="5" l="1"/>
  <c r="E19" i="1"/>
  <c r="H19" i="1" l="1"/>
  <c r="I19" i="1" s="1"/>
  <c r="F19" i="5"/>
  <c r="C18" i="2" l="1"/>
  <c r="G19" i="5"/>
  <c r="F18" i="2" l="1"/>
  <c r="G18" i="2" s="1"/>
  <c r="V18" i="2" s="1"/>
  <c r="M18" i="2" l="1"/>
  <c r="S18" i="2" s="1"/>
  <c r="O19" i="5"/>
  <c r="J18" i="2"/>
  <c r="I18" i="2"/>
  <c r="O18" i="2"/>
  <c r="G19" i="3" s="1"/>
  <c r="Q18" i="2" l="1"/>
  <c r="R19" i="5" s="1"/>
  <c r="R18" i="2"/>
  <c r="S19" i="5" s="1"/>
  <c r="E19" i="3"/>
  <c r="D19" i="3"/>
  <c r="K18" i="2"/>
  <c r="L18" i="2" s="1"/>
  <c r="P18" i="2"/>
  <c r="T18" i="2" l="1"/>
  <c r="Q19" i="5"/>
  <c r="Q19" i="1"/>
  <c r="R19" i="1" s="1"/>
  <c r="P19" i="5" l="1"/>
  <c r="E20" i="1"/>
  <c r="H20" i="1" l="1"/>
  <c r="I20" i="1" s="1"/>
  <c r="F20" i="5"/>
  <c r="C19" i="2" l="1"/>
  <c r="G20" i="5"/>
  <c r="F19" i="2" l="1"/>
  <c r="G19" i="2" s="1"/>
  <c r="V19" i="2" s="1"/>
  <c r="M19" i="2" l="1"/>
  <c r="S19" i="2" s="1"/>
  <c r="O19" i="2"/>
  <c r="G20" i="3" s="1"/>
  <c r="I19" i="2"/>
  <c r="O20" i="5"/>
  <c r="J19" i="2"/>
  <c r="K19" i="2" l="1"/>
  <c r="L19" i="2" s="1"/>
  <c r="P19" i="2"/>
  <c r="E20" i="3"/>
  <c r="D20" i="3"/>
  <c r="Q19" i="2"/>
  <c r="R20" i="5" s="1"/>
  <c r="R19" i="2"/>
  <c r="S20" i="5" s="1"/>
  <c r="T19" i="2" l="1"/>
  <c r="Q20" i="1"/>
  <c r="R20" i="1" s="1"/>
  <c r="Q20" i="5"/>
  <c r="P20" i="5" l="1"/>
  <c r="E21" i="1"/>
  <c r="H21" i="1" l="1"/>
  <c r="I21" i="1" s="1"/>
  <c r="F21" i="5"/>
  <c r="G21" i="5" l="1"/>
  <c r="C20" i="2"/>
  <c r="F20" i="2" l="1"/>
  <c r="G20" i="2" s="1"/>
  <c r="V20" i="2" s="1"/>
  <c r="I20" i="2" l="1"/>
  <c r="O21" i="5"/>
  <c r="O20" i="2"/>
  <c r="G21" i="3" s="1"/>
  <c r="M20" i="2"/>
  <c r="S20" i="2" s="1"/>
  <c r="J20" i="2"/>
  <c r="D21" i="3" l="1"/>
  <c r="E21" i="3"/>
  <c r="K20" i="2"/>
  <c r="L20" i="2" s="1"/>
  <c r="P20" i="2"/>
  <c r="Q20" i="2"/>
  <c r="R21" i="5" s="1"/>
  <c r="R20" i="2"/>
  <c r="S21" i="5" s="1"/>
  <c r="Q21" i="1" l="1"/>
  <c r="R21" i="1" s="1"/>
  <c r="T20" i="2"/>
  <c r="Q21" i="5"/>
  <c r="P21" i="5" l="1"/>
  <c r="E22" i="1"/>
  <c r="H22" i="1" l="1"/>
  <c r="I22" i="1" s="1"/>
  <c r="F22" i="5"/>
  <c r="C21" i="2" l="1"/>
  <c r="G22" i="5"/>
  <c r="F21" i="2" l="1"/>
  <c r="G21" i="2" s="1"/>
  <c r="V21" i="2" s="1"/>
  <c r="O21" i="2" l="1"/>
  <c r="G22" i="3" s="1"/>
  <c r="M21" i="2"/>
  <c r="S21" i="2" s="1"/>
  <c r="J21" i="2"/>
  <c r="I21" i="2"/>
  <c r="O22" i="5"/>
  <c r="Q21" i="2" l="1"/>
  <c r="R22" i="5" s="1"/>
  <c r="R21" i="2"/>
  <c r="S22" i="5" s="1"/>
  <c r="K21" i="2"/>
  <c r="L21" i="2" s="1"/>
  <c r="P21" i="2"/>
  <c r="E22" i="3"/>
  <c r="D22" i="3"/>
  <c r="Q22" i="5" l="1"/>
  <c r="Q22" i="1"/>
  <c r="R22" i="1" s="1"/>
  <c r="T21" i="2"/>
  <c r="P22" i="5" l="1"/>
  <c r="E23" i="1"/>
  <c r="H23" i="1" l="1"/>
  <c r="I23" i="1" s="1"/>
  <c r="F23" i="5"/>
  <c r="G23" i="5" l="1"/>
  <c r="C22" i="2"/>
  <c r="F22" i="2" l="1"/>
  <c r="G22" i="2" s="1"/>
  <c r="V22" i="2" s="1"/>
  <c r="M22" i="2" l="1"/>
  <c r="S22" i="2" s="1"/>
  <c r="J22" i="2"/>
  <c r="O23" i="5"/>
  <c r="I22" i="2"/>
  <c r="O22" i="2"/>
  <c r="G23" i="3" s="1"/>
  <c r="E23" i="3" l="1"/>
  <c r="D23" i="3"/>
  <c r="K22" i="2"/>
  <c r="L22" i="2" s="1"/>
  <c r="P22" i="2"/>
  <c r="R22" i="2"/>
  <c r="S23" i="5" s="1"/>
  <c r="Q22" i="2"/>
  <c r="R23" i="5" s="1"/>
  <c r="Q23" i="5" l="1"/>
  <c r="T22" i="2"/>
  <c r="Q23" i="1"/>
  <c r="R23" i="1" s="1"/>
  <c r="P23" i="5" l="1"/>
  <c r="E24" i="1"/>
  <c r="H24" i="1" l="1"/>
  <c r="I24" i="1" s="1"/>
  <c r="F24" i="5"/>
  <c r="C23" i="2" l="1"/>
  <c r="G24" i="5"/>
  <c r="F23" i="2" l="1"/>
  <c r="G23" i="2" s="1"/>
  <c r="V23" i="2" s="1"/>
  <c r="M23" i="2" l="1"/>
  <c r="S23" i="2" s="1"/>
  <c r="O23" i="2"/>
  <c r="G24" i="3" s="1"/>
  <c r="O24" i="5"/>
  <c r="I23" i="2"/>
  <c r="J23" i="2"/>
  <c r="Q23" i="2" l="1"/>
  <c r="R24" i="5" s="1"/>
  <c r="R23" i="2"/>
  <c r="S24" i="5" s="1"/>
  <c r="D24" i="3"/>
  <c r="E24" i="3"/>
  <c r="K23" i="2"/>
  <c r="L23" i="2" s="1"/>
  <c r="P23" i="2"/>
  <c r="Q24" i="5" l="1"/>
  <c r="Q24" i="1"/>
  <c r="R24" i="1" s="1"/>
  <c r="T23" i="2"/>
  <c r="P24" i="5" l="1"/>
  <c r="E25" i="1"/>
  <c r="H25" i="1" l="1"/>
  <c r="I25" i="1" s="1"/>
  <c r="F25" i="5"/>
  <c r="G25" i="5" l="1"/>
  <c r="C24" i="2"/>
  <c r="F24" i="2" l="1"/>
  <c r="G24" i="2" s="1"/>
  <c r="V24" i="2" s="1"/>
  <c r="M24" i="2" l="1"/>
  <c r="S24" i="2" s="1"/>
  <c r="O25" i="5"/>
  <c r="I24" i="2"/>
  <c r="J24" i="2"/>
  <c r="O24" i="2"/>
  <c r="G25" i="3" s="1"/>
  <c r="E25" i="3" l="1"/>
  <c r="D25" i="3"/>
  <c r="Q24" i="2"/>
  <c r="R25" i="5" s="1"/>
  <c r="R24" i="2"/>
  <c r="S25" i="5" s="1"/>
  <c r="K24" i="2"/>
  <c r="L24" i="2" s="1"/>
  <c r="P24" i="2"/>
  <c r="Q25" i="1" l="1"/>
  <c r="R25" i="1" s="1"/>
  <c r="Q25" i="5"/>
  <c r="T24" i="2"/>
  <c r="P25" i="5" l="1"/>
  <c r="E26" i="1"/>
  <c r="H26" i="1" l="1"/>
  <c r="I26" i="1" s="1"/>
  <c r="F26" i="5"/>
  <c r="G26" i="5" l="1"/>
  <c r="C25" i="2"/>
  <c r="F25" i="2" l="1"/>
  <c r="G25" i="2" s="1"/>
  <c r="V25" i="2" s="1"/>
  <c r="I25" i="2" l="1"/>
  <c r="O26" i="5"/>
  <c r="J25" i="2"/>
  <c r="M25" i="2"/>
  <c r="S25" i="2" s="1"/>
  <c r="O25" i="2"/>
  <c r="G26" i="3" s="1"/>
  <c r="D26" i="3" l="1"/>
  <c r="E26" i="3"/>
  <c r="K25" i="2"/>
  <c r="L25" i="2" s="1"/>
  <c r="P25" i="2"/>
  <c r="R25" i="2"/>
  <c r="S26" i="5" s="1"/>
  <c r="Q25" i="2"/>
  <c r="R26" i="5" s="1"/>
  <c r="Q26" i="1" l="1"/>
  <c r="R26" i="1" s="1"/>
  <c r="T25" i="2"/>
  <c r="Q26" i="5"/>
  <c r="P26" i="5" l="1"/>
  <c r="E27" i="1"/>
  <c r="H27" i="1" l="1"/>
  <c r="I27" i="1" s="1"/>
  <c r="F27" i="5"/>
  <c r="G27" i="5" l="1"/>
  <c r="C26" i="2"/>
  <c r="F26" i="2" l="1"/>
  <c r="G26" i="2" s="1"/>
  <c r="V26" i="2" s="1"/>
  <c r="J26" i="2" l="1"/>
  <c r="I26" i="2"/>
  <c r="O27" i="5"/>
  <c r="O26" i="2"/>
  <c r="G27" i="3" s="1"/>
  <c r="M26" i="2"/>
  <c r="S26" i="2" s="1"/>
  <c r="Q26" i="2" l="1"/>
  <c r="R27" i="5" s="1"/>
  <c r="R26" i="2"/>
  <c r="S27" i="5" s="1"/>
  <c r="D27" i="3"/>
  <c r="E27" i="3"/>
  <c r="K26" i="2"/>
  <c r="L26" i="2" s="1"/>
  <c r="P26" i="2"/>
  <c r="Q27" i="1" l="1"/>
  <c r="R27" i="1" s="1"/>
  <c r="T26" i="2"/>
  <c r="Q27" i="5"/>
  <c r="P27" i="5" l="1"/>
  <c r="E28" i="1"/>
  <c r="H28" i="1" l="1"/>
  <c r="I28" i="1" s="1"/>
  <c r="F28" i="5"/>
  <c r="G28" i="5" l="1"/>
  <c r="C27" i="2"/>
  <c r="F27" i="2" l="1"/>
  <c r="G27" i="2" s="1"/>
  <c r="V27" i="2" s="1"/>
  <c r="O28" i="5" l="1"/>
  <c r="M27" i="2"/>
  <c r="S27" i="2" s="1"/>
  <c r="J27" i="2"/>
  <c r="I27" i="2"/>
  <c r="O27" i="2"/>
  <c r="G28" i="3" s="1"/>
  <c r="E28" i="3" l="1"/>
  <c r="D28" i="3"/>
  <c r="K27" i="2"/>
  <c r="L27" i="2" s="1"/>
  <c r="P27" i="2"/>
  <c r="Q27" i="2"/>
  <c r="R28" i="5" s="1"/>
  <c r="R27" i="2"/>
  <c r="S28" i="5" s="1"/>
  <c r="Q28" i="1" l="1"/>
  <c r="R28" i="1" s="1"/>
  <c r="T27" i="2"/>
  <c r="Q28" i="5"/>
  <c r="P28" i="5" l="1"/>
  <c r="E29" i="1"/>
  <c r="H29" i="1" l="1"/>
  <c r="I29" i="1" s="1"/>
  <c r="F29" i="5"/>
  <c r="G29" i="5" l="1"/>
  <c r="C28" i="2"/>
  <c r="F28" i="2" l="1"/>
  <c r="G28" i="2" s="1"/>
  <c r="V28" i="2" s="1"/>
  <c r="J28" i="2" l="1"/>
  <c r="M28" i="2"/>
  <c r="S28" i="2" s="1"/>
  <c r="I28" i="2"/>
  <c r="O29" i="5"/>
  <c r="O28" i="2"/>
  <c r="G29" i="3" s="1"/>
  <c r="E29" i="3" l="1"/>
  <c r="D29" i="3"/>
  <c r="Q28" i="2"/>
  <c r="R29" i="5" s="1"/>
  <c r="R28" i="2"/>
  <c r="S29" i="5" s="1"/>
  <c r="K28" i="2"/>
  <c r="L28" i="2" s="1"/>
  <c r="P28" i="2"/>
  <c r="Q29" i="1" l="1"/>
  <c r="R29" i="1" s="1"/>
  <c r="Q29" i="5"/>
  <c r="T28" i="2"/>
  <c r="P29" i="5" l="1"/>
  <c r="E30" i="1"/>
  <c r="H30" i="1" l="1"/>
  <c r="I30" i="1" s="1"/>
  <c r="F30" i="5"/>
  <c r="G30" i="5" l="1"/>
  <c r="C29" i="2"/>
  <c r="F29" i="2" l="1"/>
  <c r="G29" i="2" s="1"/>
  <c r="V29" i="2" s="1"/>
  <c r="O30" i="5" l="1"/>
  <c r="J29" i="2"/>
  <c r="I29" i="2"/>
  <c r="M29" i="2"/>
  <c r="S29" i="2" s="1"/>
  <c r="O29" i="2"/>
  <c r="G30" i="3" s="1"/>
  <c r="K29" i="2" l="1"/>
  <c r="L29" i="2" s="1"/>
  <c r="P29" i="2"/>
  <c r="E30" i="3"/>
  <c r="D30" i="3"/>
  <c r="Q29" i="2"/>
  <c r="R30" i="5" s="1"/>
  <c r="R29" i="2"/>
  <c r="S30" i="5" s="1"/>
  <c r="Q30" i="1" l="1"/>
  <c r="R30" i="1" s="1"/>
  <c r="T29" i="2"/>
  <c r="Q30" i="5"/>
  <c r="P30" i="5" l="1"/>
  <c r="E31" i="1"/>
  <c r="H31" i="1" l="1"/>
  <c r="I31" i="1" s="1"/>
  <c r="F31" i="5"/>
  <c r="G31" i="5" l="1"/>
  <c r="C30" i="2"/>
  <c r="F30" i="2" l="1"/>
  <c r="G30" i="2" s="1"/>
  <c r="V30" i="2" s="1"/>
  <c r="M30" i="2" l="1"/>
  <c r="S30" i="2" s="1"/>
  <c r="J30" i="2"/>
  <c r="O31" i="5"/>
  <c r="O30" i="2"/>
  <c r="G31" i="3" s="1"/>
  <c r="I30" i="2"/>
  <c r="Q30" i="2" l="1"/>
  <c r="R31" i="5" s="1"/>
  <c r="R30" i="2"/>
  <c r="S31" i="5" s="1"/>
  <c r="K30" i="2"/>
  <c r="L30" i="2" s="1"/>
  <c r="P30" i="2"/>
  <c r="E31" i="3"/>
  <c r="D31" i="3"/>
  <c r="Q31" i="1" l="1"/>
  <c r="R31" i="1" s="1"/>
  <c r="T30" i="2"/>
  <c r="Q31" i="5"/>
  <c r="P31" i="5" l="1"/>
  <c r="E32" i="1"/>
  <c r="H32" i="1" l="1"/>
  <c r="I32" i="1" s="1"/>
  <c r="F32" i="5"/>
  <c r="G32" i="5" l="1"/>
  <c r="C31" i="2"/>
  <c r="F31" i="2" l="1"/>
  <c r="G31" i="2" s="1"/>
  <c r="V31" i="2" s="1"/>
  <c r="M31" i="2" l="1"/>
  <c r="S31" i="2" s="1"/>
  <c r="O32" i="5"/>
  <c r="I31" i="2"/>
  <c r="O31" i="2"/>
  <c r="G32" i="3" s="1"/>
  <c r="J31" i="2"/>
  <c r="D32" i="3" l="1"/>
  <c r="E32" i="3"/>
  <c r="Q31" i="2"/>
  <c r="R32" i="5" s="1"/>
  <c r="R31" i="2"/>
  <c r="S32" i="5" s="1"/>
  <c r="K31" i="2"/>
  <c r="L31" i="2" s="1"/>
  <c r="P31" i="2"/>
  <c r="Q32" i="5" l="1"/>
  <c r="T31" i="2"/>
  <c r="Q32" i="1"/>
  <c r="R32" i="1" s="1"/>
  <c r="P32" i="5" l="1"/>
  <c r="E33" i="1"/>
  <c r="H33" i="1" l="1"/>
  <c r="I33" i="1" s="1"/>
  <c r="F33" i="5"/>
  <c r="C32" i="2" l="1"/>
  <c r="G33" i="5"/>
  <c r="F32" i="2" l="1"/>
  <c r="G32" i="2" s="1"/>
  <c r="V32" i="2" s="1"/>
  <c r="O33" i="5" l="1"/>
  <c r="I32" i="2"/>
  <c r="M32" i="2"/>
  <c r="S32" i="2" s="1"/>
  <c r="J32" i="2"/>
  <c r="O32" i="2"/>
  <c r="G33" i="3" s="1"/>
  <c r="E33" i="3" l="1"/>
  <c r="D33" i="3"/>
  <c r="K32" i="2"/>
  <c r="L32" i="2" s="1"/>
  <c r="P32" i="2"/>
  <c r="Q32" i="2"/>
  <c r="R33" i="5" s="1"/>
  <c r="R32" i="2"/>
  <c r="S33" i="5" s="1"/>
  <c r="Q33" i="5" l="1"/>
  <c r="Q33" i="1"/>
  <c r="R33" i="1" s="1"/>
  <c r="T32" i="2"/>
  <c r="P33" i="5" l="1"/>
  <c r="E34" i="1"/>
  <c r="H34" i="1" l="1"/>
  <c r="I34" i="1" s="1"/>
  <c r="F34" i="5"/>
  <c r="G34" i="5" l="1"/>
  <c r="C33" i="2"/>
  <c r="F33" i="2" l="1"/>
  <c r="G33" i="2" s="1"/>
  <c r="V33" i="2" s="1"/>
  <c r="M33" i="2" l="1"/>
  <c r="S33" i="2" s="1"/>
  <c r="J33" i="2"/>
  <c r="O34" i="5"/>
  <c r="O33" i="2"/>
  <c r="G34" i="3" s="1"/>
  <c r="I33" i="2"/>
  <c r="Q33" i="2" l="1"/>
  <c r="R34" i="5" s="1"/>
  <c r="R33" i="2"/>
  <c r="S34" i="5" s="1"/>
  <c r="D34" i="3"/>
  <c r="E34" i="3"/>
  <c r="K33" i="2"/>
  <c r="L33" i="2" s="1"/>
  <c r="P33" i="2"/>
  <c r="T33" i="2" l="1"/>
  <c r="Q34" i="1"/>
  <c r="R34" i="1" s="1"/>
  <c r="Q34" i="5"/>
  <c r="P34" i="5" l="1"/>
  <c r="E35" i="1"/>
  <c r="H35" i="1" l="1"/>
  <c r="I35" i="1" s="1"/>
  <c r="F35" i="5"/>
  <c r="C34" i="2" l="1"/>
  <c r="G35" i="5"/>
  <c r="F34" i="2" l="1"/>
  <c r="G34" i="2" s="1"/>
  <c r="V34" i="2" s="1"/>
  <c r="O35" i="5" l="1"/>
  <c r="I34" i="2"/>
  <c r="J34" i="2"/>
  <c r="M34" i="2"/>
  <c r="S34" i="2" s="1"/>
  <c r="O34" i="2"/>
  <c r="G35" i="3" s="1"/>
  <c r="R34" i="2" l="1"/>
  <c r="S35" i="5" s="1"/>
  <c r="Q34" i="2"/>
  <c r="R35" i="5" s="1"/>
  <c r="D35" i="3"/>
  <c r="E35" i="3"/>
  <c r="K34" i="2"/>
  <c r="L34" i="2" s="1"/>
  <c r="P34" i="2"/>
  <c r="Q35" i="1" l="1"/>
  <c r="R35" i="1" s="1"/>
  <c r="Q35" i="5"/>
  <c r="T34" i="2"/>
  <c r="P35" i="5" l="1"/>
  <c r="E36" i="1"/>
  <c r="H36" i="1" l="1"/>
  <c r="I36" i="1" s="1"/>
  <c r="F36" i="5"/>
  <c r="G36" i="5" l="1"/>
  <c r="C35" i="2"/>
  <c r="F35" i="2" l="1"/>
  <c r="G35" i="2" s="1"/>
  <c r="V35" i="2" s="1"/>
  <c r="I35" i="2" l="1"/>
  <c r="O36" i="5"/>
  <c r="M35" i="2"/>
  <c r="S35" i="2" s="1"/>
  <c r="J35" i="2"/>
  <c r="O35" i="2"/>
  <c r="G36" i="3" s="1"/>
  <c r="E36" i="3" l="1"/>
  <c r="D36" i="3"/>
  <c r="K35" i="2"/>
  <c r="L35" i="2" s="1"/>
  <c r="P35" i="2"/>
  <c r="Q35" i="2"/>
  <c r="R36" i="5" s="1"/>
  <c r="R35" i="2"/>
  <c r="S36" i="5" s="1"/>
  <c r="Q36" i="5" l="1"/>
  <c r="Q36" i="1"/>
  <c r="R36" i="1" s="1"/>
  <c r="T35" i="2"/>
  <c r="P36" i="5" l="1"/>
  <c r="E37" i="1"/>
  <c r="H37" i="1" l="1"/>
  <c r="I37" i="1" s="1"/>
  <c r="F37" i="5"/>
  <c r="G37" i="5" l="1"/>
  <c r="C36" i="2"/>
  <c r="F36" i="2" l="1"/>
  <c r="G36" i="2" s="1"/>
  <c r="V36" i="2" s="1"/>
  <c r="J36" i="2" l="1"/>
  <c r="I36" i="2"/>
  <c r="O37" i="5"/>
  <c r="O36" i="2"/>
  <c r="G37" i="3" s="1"/>
  <c r="M36" i="2"/>
  <c r="S36" i="2" s="1"/>
  <c r="Q36" i="2" l="1"/>
  <c r="R37" i="5" s="1"/>
  <c r="R36" i="2"/>
  <c r="S37" i="5" s="1"/>
  <c r="E37" i="3"/>
  <c r="D37" i="3"/>
  <c r="K36" i="2"/>
  <c r="L36" i="2" s="1"/>
  <c r="P36" i="2"/>
  <c r="Q37" i="1" l="1"/>
  <c r="R37" i="1" s="1"/>
  <c r="Q37" i="5"/>
  <c r="T36" i="2"/>
  <c r="P37" i="5" l="1"/>
  <c r="E38" i="1"/>
  <c r="H38" i="1" l="1"/>
  <c r="I38" i="1" s="1"/>
  <c r="F38" i="5"/>
  <c r="G38" i="5" l="1"/>
  <c r="C37" i="2"/>
  <c r="F37" i="2" l="1"/>
  <c r="G37" i="2" s="1"/>
  <c r="V37" i="2" s="1"/>
  <c r="O38" i="5" l="1"/>
  <c r="O37" i="2"/>
  <c r="G38" i="3" s="1"/>
  <c r="M37" i="2"/>
  <c r="S37" i="2" s="1"/>
  <c r="I37" i="2"/>
  <c r="J37" i="2"/>
  <c r="K37" i="2" l="1"/>
  <c r="L37" i="2" s="1"/>
  <c r="P37" i="2"/>
  <c r="Q37" i="2"/>
  <c r="R38" i="5" s="1"/>
  <c r="R37" i="2"/>
  <c r="S38" i="5" s="1"/>
  <c r="E38" i="3"/>
  <c r="D38" i="3"/>
  <c r="T37" i="2" l="1"/>
  <c r="Q38" i="1"/>
  <c r="R38" i="1" s="1"/>
  <c r="Q38" i="5"/>
  <c r="P38" i="5" l="1"/>
  <c r="E39" i="1"/>
  <c r="H39" i="1" l="1"/>
  <c r="I39" i="1" s="1"/>
  <c r="F39" i="5"/>
  <c r="G39" i="5" l="1"/>
  <c r="C38" i="2"/>
  <c r="F38" i="2" l="1"/>
  <c r="G38" i="2" s="1"/>
  <c r="V38" i="2" s="1"/>
  <c r="O38" i="2" l="1"/>
  <c r="G39" i="3" s="1"/>
  <c r="J38" i="2"/>
  <c r="O39" i="5"/>
  <c r="M38" i="2"/>
  <c r="S38" i="2" s="1"/>
  <c r="I38" i="2"/>
  <c r="K38" i="2" l="1"/>
  <c r="L38" i="2" s="1"/>
  <c r="P38" i="2"/>
  <c r="R38" i="2"/>
  <c r="S39" i="5" s="1"/>
  <c r="Q38" i="2"/>
  <c r="R39" i="5" s="1"/>
  <c r="D39" i="3"/>
  <c r="E39" i="3"/>
  <c r="Q39" i="5" l="1"/>
  <c r="Q39" i="1"/>
  <c r="R39" i="1" s="1"/>
  <c r="T38" i="2"/>
  <c r="P39" i="5" l="1"/>
  <c r="E40" i="1"/>
  <c r="H40" i="1" l="1"/>
  <c r="I40" i="1" s="1"/>
  <c r="F40" i="5"/>
  <c r="C39" i="2" l="1"/>
  <c r="G40" i="5"/>
  <c r="F39" i="2" l="1"/>
  <c r="G39" i="2" s="1"/>
  <c r="V39" i="2" s="1"/>
  <c r="M39" i="2" l="1"/>
  <c r="S39" i="2" s="1"/>
  <c r="J39" i="2"/>
  <c r="I39" i="2"/>
  <c r="O40" i="5"/>
  <c r="O39" i="2"/>
  <c r="G40" i="3" s="1"/>
  <c r="Q39" i="2" l="1"/>
  <c r="R40" i="5" s="1"/>
  <c r="R39" i="2"/>
  <c r="S40" i="5" s="1"/>
  <c r="E40" i="3"/>
  <c r="D40" i="3"/>
  <c r="K39" i="2"/>
  <c r="L39" i="2" s="1"/>
  <c r="P39" i="2"/>
  <c r="T39" i="2" l="1"/>
  <c r="Q40" i="1"/>
  <c r="R40" i="1" s="1"/>
  <c r="Q40" i="5"/>
  <c r="P40" i="5" l="1"/>
  <c r="E41" i="1"/>
  <c r="H41" i="1" l="1"/>
  <c r="I41" i="1" s="1"/>
  <c r="F41" i="5"/>
  <c r="G41" i="5" l="1"/>
  <c r="C40" i="2"/>
  <c r="F40" i="2" l="1"/>
  <c r="G40" i="2" s="1"/>
  <c r="V40" i="2" s="1"/>
  <c r="O41" i="5" l="1"/>
  <c r="I40" i="2"/>
  <c r="J40" i="2"/>
  <c r="M40" i="2"/>
  <c r="S40" i="2" s="1"/>
  <c r="O40" i="2"/>
  <c r="G41" i="3" s="1"/>
  <c r="Q40" i="2" l="1"/>
  <c r="R41" i="5" s="1"/>
  <c r="R40" i="2"/>
  <c r="S41" i="5" s="1"/>
  <c r="D41" i="3"/>
  <c r="E41" i="3"/>
  <c r="K40" i="2"/>
  <c r="L40" i="2" s="1"/>
  <c r="P40" i="2"/>
  <c r="Q41" i="5" l="1"/>
  <c r="Q41" i="1"/>
  <c r="R41" i="1" s="1"/>
  <c r="T40" i="2"/>
  <c r="P41" i="5" l="1"/>
  <c r="E42" i="1"/>
  <c r="H42" i="1" l="1"/>
  <c r="I42" i="1" s="1"/>
  <c r="F42" i="5"/>
  <c r="C41" i="2" l="1"/>
  <c r="G42" i="5"/>
  <c r="F41" i="2" l="1"/>
  <c r="G41" i="2" s="1"/>
  <c r="V41" i="2" s="1"/>
  <c r="M41" i="2" l="1"/>
  <c r="S41" i="2" s="1"/>
  <c r="I41" i="2"/>
  <c r="J41" i="2"/>
  <c r="O42" i="5"/>
  <c r="O41" i="2"/>
  <c r="G42" i="3" s="1"/>
  <c r="K41" i="2" l="1"/>
  <c r="L41" i="2" s="1"/>
  <c r="P41" i="2"/>
  <c r="Q41" i="2"/>
  <c r="R42" i="5" s="1"/>
  <c r="R41" i="2"/>
  <c r="S42" i="5" s="1"/>
  <c r="E42" i="3"/>
  <c r="D42" i="3"/>
  <c r="Q42" i="5" l="1"/>
  <c r="Q42" i="1"/>
  <c r="R42" i="1" s="1"/>
  <c r="T41" i="2"/>
  <c r="P42" i="5" l="1"/>
  <c r="E43" i="1"/>
  <c r="H43" i="1" l="1"/>
  <c r="I43" i="1" s="1"/>
  <c r="F43" i="5"/>
  <c r="C42" i="2" l="1"/>
  <c r="G43" i="5"/>
  <c r="F42" i="2" l="1"/>
  <c r="G42" i="2" s="1"/>
  <c r="V42" i="2" s="1"/>
  <c r="I42" i="2" l="1"/>
  <c r="M42" i="2"/>
  <c r="S42" i="2" s="1"/>
  <c r="J42" i="2"/>
  <c r="O43" i="5"/>
  <c r="O42" i="2"/>
  <c r="G43" i="3" s="1"/>
  <c r="E43" i="3" l="1"/>
  <c r="D43" i="3"/>
  <c r="K42" i="2"/>
  <c r="L42" i="2" s="1"/>
  <c r="P42" i="2"/>
  <c r="Q42" i="2"/>
  <c r="R43" i="5" s="1"/>
  <c r="R42" i="2"/>
  <c r="S43" i="5" s="1"/>
  <c r="Q43" i="1" l="1"/>
  <c r="R43" i="1" s="1"/>
  <c r="T42" i="2"/>
  <c r="Q43" i="5"/>
  <c r="P43" i="5" l="1"/>
  <c r="E44" i="1"/>
  <c r="H44" i="1" l="1"/>
  <c r="I44" i="1" s="1"/>
  <c r="F44" i="5"/>
  <c r="C43" i="2" l="1"/>
  <c r="G44" i="5"/>
  <c r="F43" i="2" l="1"/>
  <c r="G43" i="2" s="1"/>
  <c r="V43" i="2" s="1"/>
  <c r="M43" i="2" l="1"/>
  <c r="S43" i="2" s="1"/>
  <c r="O44" i="5"/>
  <c r="O43" i="2"/>
  <c r="G44" i="3" s="1"/>
  <c r="J43" i="2"/>
  <c r="I43" i="2"/>
  <c r="Q43" i="2" l="1"/>
  <c r="R44" i="5" s="1"/>
  <c r="R43" i="2"/>
  <c r="S44" i="5" s="1"/>
  <c r="E44" i="3"/>
  <c r="D44" i="3"/>
  <c r="K43" i="2"/>
  <c r="L43" i="2" s="1"/>
  <c r="P43" i="2"/>
  <c r="T43" i="2" l="1"/>
  <c r="Q44" i="5"/>
  <c r="Q44" i="1"/>
  <c r="R44" i="1" s="1"/>
  <c r="P44" i="5" l="1"/>
  <c r="E45" i="1"/>
  <c r="H45" i="1" l="1"/>
  <c r="I45" i="1" s="1"/>
  <c r="F45" i="5"/>
  <c r="G45" i="5" l="1"/>
  <c r="C44" i="2"/>
  <c r="F44" i="2" l="1"/>
  <c r="G44" i="2" s="1"/>
  <c r="V44" i="2" s="1"/>
  <c r="M44" i="2" l="1"/>
  <c r="S44" i="2" s="1"/>
  <c r="J44" i="2"/>
  <c r="O45" i="5"/>
  <c r="I44" i="2"/>
  <c r="O44" i="2"/>
  <c r="G45" i="3" s="1"/>
  <c r="D45" i="3" l="1"/>
  <c r="E45" i="3"/>
  <c r="K44" i="2"/>
  <c r="L44" i="2" s="1"/>
  <c r="P44" i="2"/>
  <c r="Q44" i="2"/>
  <c r="R45" i="5" s="1"/>
  <c r="R44" i="2"/>
  <c r="S45" i="5" s="1"/>
  <c r="Q45" i="1" l="1"/>
  <c r="R45" i="1" s="1"/>
  <c r="T44" i="2"/>
  <c r="Q45" i="5"/>
  <c r="P45" i="5" l="1"/>
  <c r="E46" i="1"/>
  <c r="H46" i="1" l="1"/>
  <c r="I46" i="1" s="1"/>
  <c r="F46" i="5"/>
  <c r="C45" i="2" l="1"/>
  <c r="G46" i="5"/>
  <c r="F45" i="2" l="1"/>
  <c r="G45" i="2" s="1"/>
  <c r="V45" i="2" s="1"/>
  <c r="O46" i="5" l="1"/>
  <c r="J45" i="2"/>
  <c r="M45" i="2"/>
  <c r="S45" i="2" s="1"/>
  <c r="O45" i="2"/>
  <c r="G46" i="3" s="1"/>
  <c r="I45" i="2"/>
  <c r="D46" i="3" l="1"/>
  <c r="E46" i="3"/>
  <c r="K45" i="2"/>
  <c r="L45" i="2" s="1"/>
  <c r="P45" i="2"/>
  <c r="Q45" i="2"/>
  <c r="R46" i="5" s="1"/>
  <c r="R45" i="2"/>
  <c r="S46" i="5" s="1"/>
  <c r="Q46" i="1" l="1"/>
  <c r="R46" i="1" s="1"/>
  <c r="Q46" i="5"/>
  <c r="T45" i="2"/>
  <c r="P46" i="5" l="1"/>
  <c r="E47" i="1"/>
  <c r="H47" i="1" l="1"/>
  <c r="I47" i="1" s="1"/>
  <c r="F47" i="5"/>
  <c r="C46" i="2" l="1"/>
  <c r="G47" i="5"/>
  <c r="F46" i="2" l="1"/>
  <c r="G46" i="2" s="1"/>
  <c r="V46" i="2" s="1"/>
  <c r="J46" i="2" l="1"/>
  <c r="M46" i="2"/>
  <c r="S46" i="2" s="1"/>
  <c r="O47" i="5"/>
  <c r="I46" i="2"/>
  <c r="O46" i="2"/>
  <c r="G47" i="3" s="1"/>
  <c r="E47" i="3" l="1"/>
  <c r="D47" i="3"/>
  <c r="R46" i="2"/>
  <c r="S47" i="5" s="1"/>
  <c r="Q46" i="2"/>
  <c r="R47" i="5" s="1"/>
  <c r="K46" i="2"/>
  <c r="L46" i="2" s="1"/>
  <c r="P46" i="2"/>
  <c r="Q47" i="1" l="1"/>
  <c r="R47" i="1" s="1"/>
  <c r="T46" i="2"/>
  <c r="Q47" i="5"/>
  <c r="P47" i="5" l="1"/>
  <c r="E48" i="1"/>
  <c r="H48" i="1" l="1"/>
  <c r="I48" i="1" s="1"/>
  <c r="F48" i="5"/>
  <c r="G48" i="5" l="1"/>
  <c r="C47" i="2"/>
  <c r="F47" i="2" l="1"/>
  <c r="G47" i="2" s="1"/>
  <c r="V47" i="2" s="1"/>
  <c r="M47" i="2" l="1"/>
  <c r="S47" i="2" s="1"/>
  <c r="O48" i="5"/>
  <c r="J47" i="2"/>
  <c r="O47" i="2"/>
  <c r="G48" i="3" s="1"/>
  <c r="I47" i="2"/>
  <c r="K47" i="2" l="1"/>
  <c r="L47" i="2" s="1"/>
  <c r="P47" i="2"/>
  <c r="Q47" i="2"/>
  <c r="R48" i="5" s="1"/>
  <c r="R47" i="2"/>
  <c r="S48" i="5" s="1"/>
  <c r="E48" i="3"/>
  <c r="D48" i="3"/>
  <c r="T47" i="2" l="1"/>
  <c r="Q48" i="5"/>
  <c r="Q48" i="1"/>
  <c r="R48" i="1" s="1"/>
  <c r="P48" i="5" l="1"/>
  <c r="E49" i="1"/>
  <c r="H49" i="1" l="1"/>
  <c r="I49" i="1" s="1"/>
  <c r="F49" i="5"/>
  <c r="G49" i="5" l="1"/>
  <c r="C48" i="2"/>
  <c r="F48" i="2" l="1"/>
  <c r="G48" i="2" s="1"/>
  <c r="V48" i="2" s="1"/>
  <c r="I48" i="2" l="1"/>
  <c r="O49" i="5"/>
  <c r="M48" i="2"/>
  <c r="S48" i="2" s="1"/>
  <c r="J48" i="2"/>
  <c r="O48" i="2"/>
  <c r="G49" i="3" s="1"/>
  <c r="E49" i="3" l="1"/>
  <c r="D49" i="3"/>
  <c r="K48" i="2"/>
  <c r="L48" i="2" s="1"/>
  <c r="P48" i="2"/>
  <c r="Q48" i="2"/>
  <c r="R49" i="5" s="1"/>
  <c r="R48" i="2"/>
  <c r="S49" i="5" s="1"/>
  <c r="Q49" i="5" l="1"/>
  <c r="T48" i="2"/>
  <c r="Q49" i="1"/>
  <c r="R49" i="1" s="1"/>
  <c r="P49" i="5" l="1"/>
  <c r="E50" i="1"/>
  <c r="H50" i="1" l="1"/>
  <c r="I50" i="1" s="1"/>
  <c r="F50" i="5"/>
  <c r="G50" i="5" l="1"/>
  <c r="C49" i="2"/>
  <c r="F49" i="2" l="1"/>
  <c r="G49" i="2" s="1"/>
  <c r="V49" i="2" s="1"/>
  <c r="M49" i="2" l="1"/>
  <c r="S49" i="2" s="1"/>
  <c r="I49" i="2"/>
  <c r="J49" i="2"/>
  <c r="O50" i="5"/>
  <c r="O49" i="2"/>
  <c r="G50" i="3" s="1"/>
  <c r="K49" i="2" l="1"/>
  <c r="L49" i="2" s="1"/>
  <c r="P49" i="2"/>
  <c r="E50" i="3"/>
  <c r="D50" i="3"/>
  <c r="Q49" i="2"/>
  <c r="R50" i="5" s="1"/>
  <c r="R49" i="2"/>
  <c r="S50" i="5" s="1"/>
  <c r="Q50" i="1" l="1"/>
  <c r="R50" i="1" s="1"/>
  <c r="Q50" i="5"/>
  <c r="T49" i="2"/>
  <c r="P50" i="5" l="1"/>
  <c r="E51" i="1"/>
  <c r="H51" i="1" l="1"/>
  <c r="I51" i="1" s="1"/>
  <c r="F51" i="5"/>
  <c r="G51" i="5" l="1"/>
  <c r="C50" i="2"/>
  <c r="F50" i="2" l="1"/>
  <c r="G50" i="2" s="1"/>
  <c r="V50" i="2" s="1"/>
  <c r="M50" i="2" l="1"/>
  <c r="S50" i="2" s="1"/>
  <c r="I50" i="2"/>
  <c r="J50" i="2"/>
  <c r="O51" i="5"/>
  <c r="O50" i="2"/>
  <c r="G51" i="3" s="1"/>
  <c r="Q50" i="2" l="1"/>
  <c r="R51" i="5" s="1"/>
  <c r="R50" i="2"/>
  <c r="S51" i="5" s="1"/>
  <c r="D51" i="3"/>
  <c r="E51" i="3"/>
  <c r="K50" i="2"/>
  <c r="L50" i="2" s="1"/>
  <c r="P50" i="2"/>
  <c r="T50" i="2" l="1"/>
  <c r="Q51" i="1"/>
  <c r="R51" i="1" s="1"/>
  <c r="Q51" i="5"/>
  <c r="P51" i="5" l="1"/>
  <c r="E52" i="1"/>
  <c r="H52" i="1" l="1"/>
  <c r="I52" i="1" s="1"/>
  <c r="F52" i="5"/>
  <c r="C51" i="2" l="1"/>
  <c r="G52" i="5"/>
  <c r="F51" i="2" l="1"/>
  <c r="G51" i="2" s="1"/>
  <c r="V51" i="2" s="1"/>
  <c r="O52" i="5" l="1"/>
  <c r="M51" i="2"/>
  <c r="S51" i="2" s="1"/>
  <c r="O51" i="2"/>
  <c r="G52" i="3" s="1"/>
  <c r="J51" i="2"/>
  <c r="I51" i="2"/>
  <c r="R51" i="2" l="1"/>
  <c r="S52" i="5" s="1"/>
  <c r="Q51" i="2"/>
  <c r="R52" i="5" s="1"/>
  <c r="K51" i="2"/>
  <c r="L51" i="2" s="1"/>
  <c r="P51" i="2"/>
  <c r="E52" i="3"/>
  <c r="D52" i="3"/>
  <c r="Q52" i="5" l="1"/>
  <c r="T51" i="2"/>
  <c r="Q52" i="1"/>
  <c r="R52" i="1" s="1"/>
  <c r="P52" i="5" l="1"/>
  <c r="E53" i="1"/>
  <c r="H53" i="1" l="1"/>
  <c r="I53" i="1" s="1"/>
  <c r="F53" i="5"/>
  <c r="C52" i="2" l="1"/>
  <c r="G53" i="5"/>
  <c r="F52" i="2" l="1"/>
  <c r="G52" i="2" s="1"/>
  <c r="V52" i="2" s="1"/>
  <c r="M52" i="2" l="1"/>
  <c r="S52" i="2" s="1"/>
  <c r="O53" i="5"/>
  <c r="I52" i="2"/>
  <c r="J52" i="2"/>
  <c r="O52" i="2"/>
  <c r="G53" i="3" s="1"/>
  <c r="E53" i="3" l="1"/>
  <c r="D53" i="3"/>
  <c r="Q52" i="2"/>
  <c r="R53" i="5" s="1"/>
  <c r="R52" i="2"/>
  <c r="S53" i="5" s="1"/>
  <c r="K52" i="2"/>
  <c r="L52" i="2" s="1"/>
  <c r="P52" i="2"/>
  <c r="Q53" i="5" l="1"/>
  <c r="Q53" i="1"/>
  <c r="R53" i="1" s="1"/>
  <c r="T52" i="2"/>
  <c r="P53" i="5" l="1"/>
  <c r="E54" i="1"/>
  <c r="H54" i="1" l="1"/>
  <c r="I54" i="1" s="1"/>
  <c r="F54" i="5"/>
  <c r="C53" i="2" l="1"/>
  <c r="G54" i="5"/>
  <c r="F53" i="2" l="1"/>
  <c r="G53" i="2" s="1"/>
  <c r="V53" i="2" s="1"/>
  <c r="M53" i="2" l="1"/>
  <c r="S53" i="2" s="1"/>
  <c r="J53" i="2"/>
  <c r="O54" i="5"/>
  <c r="O53" i="2"/>
  <c r="G54" i="3" s="1"/>
  <c r="I53" i="2"/>
  <c r="E54" i="3" l="1"/>
  <c r="D54" i="3"/>
  <c r="Q53" i="2"/>
  <c r="R54" i="5" s="1"/>
  <c r="R53" i="2"/>
  <c r="S54" i="5" s="1"/>
  <c r="K53" i="2"/>
  <c r="L53" i="2" s="1"/>
  <c r="P53" i="2"/>
  <c r="Q54" i="5" l="1"/>
  <c r="Q54" i="1"/>
  <c r="R54" i="1" s="1"/>
  <c r="T53" i="2"/>
  <c r="P54" i="5" l="1"/>
  <c r="E55" i="1"/>
  <c r="H55" i="1" l="1"/>
  <c r="I55" i="1" s="1"/>
  <c r="F55" i="5"/>
  <c r="C54" i="2" l="1"/>
  <c r="G55" i="5"/>
  <c r="F54" i="2" l="1"/>
  <c r="G54" i="2" s="1"/>
  <c r="V54" i="2" s="1"/>
  <c r="M54" i="2" l="1"/>
  <c r="S54" i="2" s="1"/>
  <c r="O55" i="5"/>
  <c r="O54" i="2"/>
  <c r="G55" i="3" s="1"/>
  <c r="J54" i="2"/>
  <c r="I54" i="2"/>
  <c r="K54" i="2" l="1"/>
  <c r="L54" i="2" s="1"/>
  <c r="P54" i="2"/>
  <c r="Q54" i="2"/>
  <c r="R55" i="5" s="1"/>
  <c r="R54" i="2"/>
  <c r="S55" i="5" s="1"/>
  <c r="E55" i="3"/>
  <c r="D55" i="3"/>
  <c r="T54" i="2" l="1"/>
  <c r="Q55" i="5"/>
  <c r="Q55" i="1"/>
  <c r="R55" i="1" s="1"/>
  <c r="P55" i="5" s="1"/>
</calcChain>
</file>

<file path=xl/sharedStrings.xml><?xml version="1.0" encoding="utf-8"?>
<sst xmlns="http://schemas.openxmlformats.org/spreadsheetml/2006/main" count="501" uniqueCount="313">
  <si>
    <t>Trecho</t>
  </si>
  <si>
    <t>Extensão</t>
  </si>
  <si>
    <t>Total</t>
  </si>
  <si>
    <t>Tc (min)</t>
  </si>
  <si>
    <t>Tempo de concentração</t>
  </si>
  <si>
    <t>Coeficiente de escoamento</t>
  </si>
  <si>
    <t>Intensidade de chuva</t>
  </si>
  <si>
    <t>Vazão de projeto</t>
  </si>
  <si>
    <t>Montante</t>
  </si>
  <si>
    <t>Jusante</t>
  </si>
  <si>
    <t>Velocidade do escoamento</t>
  </si>
  <si>
    <t>Tempo de escoamento</t>
  </si>
  <si>
    <t xml:space="preserve">C </t>
  </si>
  <si>
    <t>i (mm/h)</t>
  </si>
  <si>
    <t>Q (m³/s)</t>
  </si>
  <si>
    <t>L (m)</t>
  </si>
  <si>
    <t>Ve (m/s)</t>
  </si>
  <si>
    <t>Declividade do trecho</t>
  </si>
  <si>
    <t>(m/m)</t>
  </si>
  <si>
    <t>D (mm)</t>
  </si>
  <si>
    <t xml:space="preserve"> S (m/m)</t>
  </si>
  <si>
    <t>Tirante</t>
  </si>
  <si>
    <t>y/D (%)</t>
  </si>
  <si>
    <t>Velocidade de escoamento</t>
  </si>
  <si>
    <t>Velocidade crítica</t>
  </si>
  <si>
    <t>Vc (m/s)</t>
  </si>
  <si>
    <t>Tensão trativa</t>
  </si>
  <si>
    <t>τ (N/m²)</t>
  </si>
  <si>
    <t>Raio hidráulico</t>
  </si>
  <si>
    <t>Rh (m)</t>
  </si>
  <si>
    <t>Área molhada</t>
  </si>
  <si>
    <t>Am (m²)</t>
  </si>
  <si>
    <t>PLANILHA DE CÁLCULO DE ÁGUAS PLUVIAIS
Características da galeria</t>
  </si>
  <si>
    <t>PLANILHA DE CÁLCULO DE ÁGUAS PLUVIAIS
Características do escoamento</t>
  </si>
  <si>
    <t>Poço de visita</t>
  </si>
  <si>
    <t>N.</t>
  </si>
  <si>
    <t>Estaca</t>
  </si>
  <si>
    <t>Cotas</t>
  </si>
  <si>
    <t>Terreno (m)</t>
  </si>
  <si>
    <t>NA Entrada (m)</t>
  </si>
  <si>
    <t>NA Saída (m)</t>
  </si>
  <si>
    <t>Recobrimento mínimo (m)</t>
  </si>
  <si>
    <t>PLANILHA DE CÁLCULO DE ÁGUAS PLUVIAIS
Poços de visita</t>
  </si>
  <si>
    <t>Tirante crítico</t>
  </si>
  <si>
    <t>yc (m)</t>
  </si>
  <si>
    <t>Fr</t>
  </si>
  <si>
    <t>Número de Froude</t>
  </si>
  <si>
    <t>Cota do terreno (m)</t>
  </si>
  <si>
    <t>Profundidade do coletor (m)</t>
  </si>
  <si>
    <t>Cota do coletor (m)</t>
  </si>
  <si>
    <t>ϴ</t>
  </si>
  <si>
    <t>(rad)</t>
  </si>
  <si>
    <t>te (min)</t>
  </si>
  <si>
    <t>Acumulada</t>
  </si>
  <si>
    <t>Critérios</t>
  </si>
  <si>
    <t>Vmin</t>
  </si>
  <si>
    <t>m/s</t>
  </si>
  <si>
    <t>Vmáx</t>
  </si>
  <si>
    <t>Recob. Mín.</t>
  </si>
  <si>
    <t xml:space="preserve">m </t>
  </si>
  <si>
    <t>Dmin.</t>
  </si>
  <si>
    <t>m</t>
  </si>
  <si>
    <t>%</t>
  </si>
  <si>
    <t>N/m²</t>
  </si>
  <si>
    <t>Decl. Mín.</t>
  </si>
  <si>
    <t>Tensão Trat.</t>
  </si>
  <si>
    <t>Ym &gt; Tc</t>
  </si>
  <si>
    <t>Diâmetros comerciais:</t>
  </si>
  <si>
    <t>Comprimentos:</t>
  </si>
  <si>
    <t>1- 1.5 m</t>
  </si>
  <si>
    <t>PV1 - PV2</t>
  </si>
  <si>
    <t xml:space="preserve">TR </t>
  </si>
  <si>
    <t>anos</t>
  </si>
  <si>
    <t>Tempo de Retorno</t>
  </si>
  <si>
    <t>Tr (anos)</t>
  </si>
  <si>
    <t>Diâmetro adotado</t>
  </si>
  <si>
    <t>Diâmetro calculado</t>
  </si>
  <si>
    <t>Dn (mm)</t>
  </si>
  <si>
    <t>Coeficiente de rugosidade</t>
  </si>
  <si>
    <t>n (adim.)</t>
  </si>
  <si>
    <t>Rugosidade:</t>
  </si>
  <si>
    <t>n =</t>
  </si>
  <si>
    <t>(Tubo de Concreto)</t>
  </si>
  <si>
    <t>Vazão Manning</t>
  </si>
  <si>
    <t>Qm (m³/s)</t>
  </si>
  <si>
    <t>Q - Qm</t>
  </si>
  <si>
    <t>deve ser 0</t>
  </si>
  <si>
    <t>Profundidade Hidráulica</t>
  </si>
  <si>
    <t>yn (m)</t>
  </si>
  <si>
    <t>Largura de Topo</t>
  </si>
  <si>
    <t>B (m)</t>
  </si>
  <si>
    <t>L</t>
  </si>
  <si>
    <t>(m)</t>
  </si>
  <si>
    <t>tc</t>
  </si>
  <si>
    <t>(min)</t>
  </si>
  <si>
    <t>Q</t>
  </si>
  <si>
    <t>(m³/s)</t>
  </si>
  <si>
    <t>Cotas do terreno (m)</t>
  </si>
  <si>
    <t>Mon</t>
  </si>
  <si>
    <t>Jus</t>
  </si>
  <si>
    <t>Recobrimento (m)</t>
  </si>
  <si>
    <t>Cotas do coletor (m)</t>
  </si>
  <si>
    <t>S</t>
  </si>
  <si>
    <t>D</t>
  </si>
  <si>
    <t>te</t>
  </si>
  <si>
    <t>Velocidade média</t>
  </si>
  <si>
    <t>(m/s)</t>
  </si>
  <si>
    <t>(Pa)</t>
  </si>
  <si>
    <t>PV</t>
  </si>
  <si>
    <t>Preencha Galeria e Escoamento</t>
  </si>
  <si>
    <t>Preencher</t>
  </si>
  <si>
    <t>Automatico</t>
  </si>
  <si>
    <t>PV4 - PV5</t>
  </si>
  <si>
    <t>PV7 - PV8</t>
  </si>
  <si>
    <t>Vazão de projeto*</t>
  </si>
  <si>
    <t>Parâmetros IDF</t>
  </si>
  <si>
    <t>a:</t>
  </si>
  <si>
    <t>b:</t>
  </si>
  <si>
    <t>c:</t>
  </si>
  <si>
    <t>K:</t>
  </si>
  <si>
    <t>Área (m²)</t>
  </si>
  <si>
    <t>PV3 - PV4</t>
  </si>
  <si>
    <t>PV6 - PV7</t>
  </si>
  <si>
    <t>-</t>
  </si>
  <si>
    <t>Altura da lamina d'água (m)</t>
  </si>
  <si>
    <t>Saída</t>
  </si>
  <si>
    <t>Cota de fundo (m)</t>
  </si>
  <si>
    <t>PV2 - PV3</t>
  </si>
  <si>
    <t>PV5 - PV6</t>
  </si>
  <si>
    <t>PV18 - PV19</t>
  </si>
  <si>
    <t>PV19 - PV20</t>
  </si>
  <si>
    <t>PV20 - PV21</t>
  </si>
  <si>
    <t>PV8 - PV9</t>
  </si>
  <si>
    <t>PV9 - PV10</t>
  </si>
  <si>
    <t>PV10 - PV11</t>
  </si>
  <si>
    <t>PV11 - PV12</t>
  </si>
  <si>
    <t>PV12 - PV13</t>
  </si>
  <si>
    <t>PV13 - PV14</t>
  </si>
  <si>
    <t>PV14 - PV15</t>
  </si>
  <si>
    <t>PV15 - PV16</t>
  </si>
  <si>
    <t>PV16 - PV17</t>
  </si>
  <si>
    <t>PV34 - PV35</t>
  </si>
  <si>
    <t>PV22 - PV23</t>
  </si>
  <si>
    <t>PV24 - PV25</t>
  </si>
  <si>
    <t>PV26 - PV27</t>
  </si>
  <si>
    <t>PV29 - PV30</t>
  </si>
  <si>
    <t>PV30 - PV31</t>
  </si>
  <si>
    <t>PV31 - PV32</t>
  </si>
  <si>
    <t>PV32 - PV33</t>
  </si>
  <si>
    <t>PV25 - PV26</t>
  </si>
  <si>
    <t>PV35 - PV36</t>
  </si>
  <si>
    <t>PV36 - PV37</t>
  </si>
  <si>
    <t>PV38 - PV39</t>
  </si>
  <si>
    <t>PV39 - PV40</t>
  </si>
  <si>
    <t>PV40 - PV41</t>
  </si>
  <si>
    <t>PV27 - PV5</t>
  </si>
  <si>
    <t>PV17 - PV18</t>
  </si>
  <si>
    <t>PV21 - PV22</t>
  </si>
  <si>
    <t>PV28 - PV29</t>
  </si>
  <si>
    <t>PV42 - PV43</t>
  </si>
  <si>
    <t>PV43 - PV44</t>
  </si>
  <si>
    <t>PV44 - PV45</t>
  </si>
  <si>
    <t>PV45 - PV46</t>
  </si>
  <si>
    <t>PV46 - PV47</t>
  </si>
  <si>
    <t>PV47 - PV48</t>
  </si>
  <si>
    <t>PV48 - PV49</t>
  </si>
  <si>
    <t>PV49 - PV40</t>
  </si>
  <si>
    <t>PV33 - PV34</t>
  </si>
  <si>
    <t>PV41 - PV23</t>
  </si>
  <si>
    <t>PV23 - Des.</t>
  </si>
  <si>
    <t>PV37 - PV38</t>
  </si>
  <si>
    <t>PV1</t>
  </si>
  <si>
    <t>PV2</t>
  </si>
  <si>
    <t>PV3</t>
  </si>
  <si>
    <t>PV4</t>
  </si>
  <si>
    <t>PV24</t>
  </si>
  <si>
    <t>PV25</t>
  </si>
  <si>
    <t>PV26</t>
  </si>
  <si>
    <t>PV27</t>
  </si>
  <si>
    <t>PV5</t>
  </si>
  <si>
    <t>PV6</t>
  </si>
  <si>
    <t>PV7</t>
  </si>
  <si>
    <t>PV8</t>
  </si>
  <si>
    <t>PV9</t>
  </si>
  <si>
    <t>PV10</t>
  </si>
  <si>
    <t>PV11</t>
  </si>
  <si>
    <t>PV12</t>
  </si>
  <si>
    <t>PV13</t>
  </si>
  <si>
    <t>PV14</t>
  </si>
  <si>
    <t>PV15</t>
  </si>
  <si>
    <t>PV16</t>
  </si>
  <si>
    <t>PV17</t>
  </si>
  <si>
    <t>PV18</t>
  </si>
  <si>
    <t>PV19</t>
  </si>
  <si>
    <t>PV20</t>
  </si>
  <si>
    <t>PV21</t>
  </si>
  <si>
    <t>PV22</t>
  </si>
  <si>
    <t>PV28</t>
  </si>
  <si>
    <t>PV29</t>
  </si>
  <si>
    <t>PV30</t>
  </si>
  <si>
    <t>PV31</t>
  </si>
  <si>
    <t>PV32</t>
  </si>
  <si>
    <t>PV33</t>
  </si>
  <si>
    <t>PV34</t>
  </si>
  <si>
    <t>PV35</t>
  </si>
  <si>
    <t>PV36</t>
  </si>
  <si>
    <t>PV37</t>
  </si>
  <si>
    <t>PV38</t>
  </si>
  <si>
    <t>PV39</t>
  </si>
  <si>
    <t>PV42</t>
  </si>
  <si>
    <t>PV43</t>
  </si>
  <si>
    <t>PV44</t>
  </si>
  <si>
    <t>PV45</t>
  </si>
  <si>
    <t>PV46</t>
  </si>
  <si>
    <t>PV47</t>
  </si>
  <si>
    <t>PV48</t>
  </si>
  <si>
    <t>PV49</t>
  </si>
  <si>
    <t>PV40</t>
  </si>
  <si>
    <t>PV41</t>
  </si>
  <si>
    <t>PV23</t>
  </si>
  <si>
    <t>Entrada</t>
  </si>
  <si>
    <t>VELOCIDADE DA ÁGUA NA SARJETA (m/s)</t>
  </si>
  <si>
    <t>CAPACIDADE DAS SARJETAS (m³/s)</t>
  </si>
  <si>
    <t>CAPACIDADE DE CADA SARJETA (m³/s)</t>
  </si>
  <si>
    <t>n</t>
  </si>
  <si>
    <t>DECLIVIDADE (%)</t>
  </si>
  <si>
    <t>DECLIVIDADE (m/m)</t>
  </si>
  <si>
    <t>DISTÂNCIA HORIZONTAL (m)</t>
  </si>
  <si>
    <t>DESNÍVEL (m)</t>
  </si>
  <si>
    <t>Rua</t>
  </si>
  <si>
    <t>CÁLCULO DA CAPACIDADE DAS SARJETAS</t>
  </si>
  <si>
    <t>i</t>
  </si>
  <si>
    <t>Rh</t>
  </si>
  <si>
    <t>t</t>
  </si>
  <si>
    <t>Am</t>
  </si>
  <si>
    <t>T</t>
  </si>
  <si>
    <t>Pm</t>
  </si>
  <si>
    <t>c</t>
  </si>
  <si>
    <t>b</t>
  </si>
  <si>
    <t>a</t>
  </si>
  <si>
    <t>h</t>
  </si>
  <si>
    <t>K</t>
  </si>
  <si>
    <r>
      <t>f (</t>
    </r>
    <r>
      <rPr>
        <sz val="11"/>
        <color theme="1"/>
        <rFont val="Times New Roman"/>
        <family val="1"/>
      </rPr>
      <t>mm</t>
    </r>
    <r>
      <rPr>
        <sz val="11"/>
        <color theme="1"/>
        <rFont val="Symbol"/>
        <family val="1"/>
        <charset val="2"/>
      </rPr>
      <t>)</t>
    </r>
  </si>
  <si>
    <t>Número de bocas de lobo a esgotar</t>
  </si>
  <si>
    <t>Geometria da sarjeta</t>
  </si>
  <si>
    <t>Parâmetros da equação</t>
  </si>
  <si>
    <t>BL-1</t>
  </si>
  <si>
    <t>BL-2</t>
  </si>
  <si>
    <t>BL-3</t>
  </si>
  <si>
    <t>parâmetros</t>
  </si>
  <si>
    <t>Curva IDF</t>
  </si>
  <si>
    <t>d</t>
  </si>
  <si>
    <t>C</t>
  </si>
  <si>
    <t>$F$6*($F$7^(2/3))*(D12^0,5)/F12</t>
  </si>
  <si>
    <t>k</t>
  </si>
  <si>
    <t>superfície pavimentada</t>
  </si>
  <si>
    <t>n (manning)</t>
  </si>
  <si>
    <t>concreto pré-moldado</t>
  </si>
  <si>
    <t>ÁREAS DE CONTRIBUIÇÃO E VAZÕES DE PROJETO</t>
  </si>
  <si>
    <t>Cotas m (m)</t>
  </si>
  <si>
    <t>Cotas j (m)</t>
  </si>
  <si>
    <t>S (m/m)</t>
  </si>
  <si>
    <t>ti(min)</t>
  </si>
  <si>
    <t>tr (min)</t>
  </si>
  <si>
    <t>tc (min)</t>
  </si>
  <si>
    <t>I (mm/h)</t>
  </si>
  <si>
    <t>A (m²)</t>
  </si>
  <si>
    <t>A (km²)</t>
  </si>
  <si>
    <t>Qproj (m³/s)</t>
  </si>
  <si>
    <t>Qm</t>
  </si>
  <si>
    <t>Qj</t>
  </si>
  <si>
    <t>Qsarj (m³/s)</t>
  </si>
  <si>
    <t>Verificação</t>
  </si>
  <si>
    <t>v (m/s)</t>
  </si>
  <si>
    <t>largura da rua (m)</t>
  </si>
  <si>
    <t>capacidade de escoamanto (L/s)</t>
  </si>
  <si>
    <t>ponto a jusante de maior cota</t>
  </si>
  <si>
    <t>cota do ponto a jusante do trecho analisado (m)</t>
  </si>
  <si>
    <t>extensão do trecho  a jusante deste (m)</t>
  </si>
  <si>
    <t>área (Km²)</t>
  </si>
  <si>
    <t>vazão (l/s)</t>
  </si>
  <si>
    <t>local</t>
  </si>
  <si>
    <t>a escoar (nas galerias)</t>
  </si>
  <si>
    <t>TRECHO 01</t>
  </si>
  <si>
    <t>TRECHO 02</t>
  </si>
  <si>
    <t>TRECHO 03</t>
  </si>
  <si>
    <t>TRECHO 04</t>
  </si>
  <si>
    <t>TRECHO 05</t>
  </si>
  <si>
    <t>TRECHO 06</t>
  </si>
  <si>
    <t>TRECHO 07</t>
  </si>
  <si>
    <t>TRECHO 08</t>
  </si>
  <si>
    <t>TRECHO 09</t>
  </si>
  <si>
    <t>TRECHO 10</t>
  </si>
  <si>
    <t>TRECHO 11</t>
  </si>
  <si>
    <t>TRECHO 12</t>
  </si>
  <si>
    <t>TRECHO 13</t>
  </si>
  <si>
    <t>Boca de Lobo</t>
  </si>
  <si>
    <t>BL01</t>
  </si>
  <si>
    <t>BL02</t>
  </si>
  <si>
    <t>BL03</t>
  </si>
  <si>
    <t xml:space="preserve">Trecho 01 </t>
  </si>
  <si>
    <t>Trecho 02</t>
  </si>
  <si>
    <t>Trecho 03</t>
  </si>
  <si>
    <t>Trecho 04</t>
  </si>
  <si>
    <t>Trecho 05</t>
  </si>
  <si>
    <t>Trecho 06</t>
  </si>
  <si>
    <t>Trecho 07</t>
  </si>
  <si>
    <t>Trecho 08</t>
  </si>
  <si>
    <t>Trecho 09</t>
  </si>
  <si>
    <t>Trecho 10</t>
  </si>
  <si>
    <t>Trecho 11</t>
  </si>
  <si>
    <t>Trecho 12</t>
  </si>
  <si>
    <t>Trecho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</si>
</sst>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0.000"/>
    <numFmt numFmtId="165" formatCode="0.0"/>
    <numFmt numFmtId="166" formatCode="0.0000"/>
    <numFmt numFmtId="167" formatCode="0.00000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8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name val="Times New Roman"/>
      <family val="1"/>
    </font>
    <font>
      <sz val="12"/>
      <color rgb="FFFF0000"/>
      <name val="Times New Roman"/>
      <family val="1"/>
    </font>
    <font>
      <sz val="12"/>
      <color theme="1"/>
      <name val="Times New Roman"/>
      <family val="1"/>
    </font>
    <font>
      <sz val="11"/>
      <color rgb="FFFF0000"/>
      <name val="Times New Roman"/>
      <family val="1"/>
    </font>
    <font>
      <sz val="11"/>
      <color theme="1"/>
      <name val="Times New Roman"/>
      <family val="1"/>
    </font>
    <font>
      <sz val="11"/>
      <color theme="1"/>
      <name val="Symbol"/>
      <family val="1"/>
      <charset val="2"/>
    </font>
    <font>
      <sz val="11"/>
      <color theme="0"/>
      <name val="Calibri"/>
      <family val="2"/>
      <scheme val="minor"/>
    </font>
    <font>
      <b/>
      <sz val="12"/>
      <name val="Times New Roman"/>
      <family val="1"/>
    </font>
    <font>
      <b/>
      <sz val="12"/>
      <color theme="1"/>
      <name val="Times New Roman"/>
      <family val="1"/>
    </font>
    <font>
      <b/>
      <sz val="12"/>
      <color theme="0"/>
      <name val="Times New Roman"/>
      <family val="1"/>
    </font>
    <font>
      <sz val="12"/>
      <color theme="0"/>
      <name val="Times New Roman"/>
      <family val="1"/>
    </font>
    <font>
      <i/>
      <sz val="12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184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1" xfId="0" applyBorder="1"/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0" fillId="0" borderId="13" xfId="0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0" xfId="0" applyFont="1" applyAlignment="1">
      <alignment horizontal="left" vertical="top"/>
    </xf>
    <xf numFmtId="164" fontId="0" fillId="0" borderId="0" xfId="0" applyNumberFormat="1"/>
    <xf numFmtId="0" fontId="0" fillId="0" borderId="0" xfId="0" applyAlignment="1">
      <alignment horizontal="right"/>
    </xf>
    <xf numFmtId="0" fontId="0" fillId="0" borderId="3" xfId="0" applyBorder="1"/>
    <xf numFmtId="0" fontId="0" fillId="2" borderId="0" xfId="0" applyFill="1"/>
    <xf numFmtId="0" fontId="0" fillId="2" borderId="1" xfId="0" applyFill="1" applyBorder="1"/>
    <xf numFmtId="164" fontId="0" fillId="2" borderId="0" xfId="0" applyNumberFormat="1" applyFill="1"/>
    <xf numFmtId="0" fontId="0" fillId="4" borderId="0" xfId="0" applyFill="1"/>
    <xf numFmtId="2" fontId="0" fillId="2" borderId="0" xfId="0" applyNumberFormat="1" applyFill="1"/>
    <xf numFmtId="164" fontId="0" fillId="5" borderId="0" xfId="0" applyNumberFormat="1" applyFill="1"/>
    <xf numFmtId="0" fontId="0" fillId="0" borderId="20" xfId="0" applyBorder="1"/>
    <xf numFmtId="165" fontId="0" fillId="0" borderId="0" xfId="0" applyNumberFormat="1"/>
    <xf numFmtId="0" fontId="0" fillId="3" borderId="19" xfId="0" applyFill="1" applyBorder="1"/>
    <xf numFmtId="0" fontId="0" fillId="0" borderId="0" xfId="0" applyAlignment="1">
      <alignment horizontal="center"/>
    </xf>
    <xf numFmtId="0" fontId="0" fillId="0" borderId="14" xfId="0" applyBorder="1"/>
    <xf numFmtId="0" fontId="0" fillId="0" borderId="21" xfId="0" applyBorder="1"/>
    <xf numFmtId="0" fontId="0" fillId="0" borderId="12" xfId="0" applyBorder="1"/>
    <xf numFmtId="0" fontId="0" fillId="0" borderId="10" xfId="0" applyBorder="1"/>
    <xf numFmtId="166" fontId="0" fillId="2" borderId="0" xfId="0" applyNumberFormat="1" applyFill="1"/>
    <xf numFmtId="0" fontId="0" fillId="0" borderId="23" xfId="0" applyBorder="1" applyAlignment="1">
      <alignment horizontal="center" vertical="center" wrapText="1"/>
    </xf>
    <xf numFmtId="164" fontId="0" fillId="0" borderId="27" xfId="0" applyNumberFormat="1" applyBorder="1"/>
    <xf numFmtId="166" fontId="0" fillId="0" borderId="0" xfId="0" applyNumberFormat="1"/>
    <xf numFmtId="0" fontId="1" fillId="0" borderId="0" xfId="0" applyFont="1"/>
    <xf numFmtId="164" fontId="0" fillId="2" borderId="1" xfId="0" applyNumberFormat="1" applyFill="1" applyBorder="1"/>
    <xf numFmtId="166" fontId="0" fillId="2" borderId="1" xfId="0" applyNumberFormat="1" applyFill="1" applyBorder="1"/>
    <xf numFmtId="2" fontId="0" fillId="0" borderId="0" xfId="0" applyNumberFormat="1"/>
    <xf numFmtId="1" fontId="0" fillId="0" borderId="0" xfId="0" applyNumberFormat="1"/>
    <xf numFmtId="2" fontId="0" fillId="2" borderId="1" xfId="0" applyNumberFormat="1" applyFill="1" applyBorder="1"/>
    <xf numFmtId="164" fontId="0" fillId="5" borderId="1" xfId="0" applyNumberFormat="1" applyFill="1" applyBorder="1"/>
    <xf numFmtId="0" fontId="0" fillId="0" borderId="20" xfId="0" applyBorder="1" applyAlignment="1">
      <alignment horizontal="center" vertical="center"/>
    </xf>
    <xf numFmtId="1" fontId="1" fillId="4" borderId="0" xfId="0" applyNumberFormat="1" applyFont="1" applyFill="1"/>
    <xf numFmtId="165" fontId="4" fillId="3" borderId="0" xfId="0" applyNumberFormat="1" applyFont="1" applyFill="1"/>
    <xf numFmtId="0" fontId="1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26" xfId="0" applyFont="1" applyBorder="1"/>
    <xf numFmtId="0" fontId="6" fillId="3" borderId="26" xfId="0" applyFont="1" applyFill="1" applyBorder="1"/>
    <xf numFmtId="2" fontId="6" fillId="3" borderId="0" xfId="0" applyNumberFormat="1" applyFont="1" applyFill="1"/>
    <xf numFmtId="4" fontId="6" fillId="3" borderId="0" xfId="0" applyNumberFormat="1" applyFont="1" applyFill="1"/>
    <xf numFmtId="0" fontId="6" fillId="3" borderId="0" xfId="0" applyFont="1" applyFill="1"/>
    <xf numFmtId="164" fontId="6" fillId="2" borderId="0" xfId="0" applyNumberFormat="1" applyFont="1" applyFill="1"/>
    <xf numFmtId="166" fontId="6" fillId="2" borderId="0" xfId="0" applyNumberFormat="1" applyFont="1" applyFill="1"/>
    <xf numFmtId="165" fontId="6" fillId="3" borderId="0" xfId="0" applyNumberFormat="1" applyFont="1" applyFill="1"/>
    <xf numFmtId="164" fontId="6" fillId="2" borderId="27" xfId="0" applyNumberFormat="1" applyFont="1" applyFill="1" applyBorder="1"/>
    <xf numFmtId="164" fontId="6" fillId="3" borderId="0" xfId="0" applyNumberFormat="1" applyFont="1" applyFill="1"/>
    <xf numFmtId="2" fontId="4" fillId="3" borderId="0" xfId="0" applyNumberFormat="1" applyFont="1" applyFill="1"/>
    <xf numFmtId="0" fontId="6" fillId="3" borderId="19" xfId="0" applyFont="1" applyFill="1" applyBorder="1"/>
    <xf numFmtId="2" fontId="6" fillId="3" borderId="1" xfId="0" applyNumberFormat="1" applyFont="1" applyFill="1" applyBorder="1"/>
    <xf numFmtId="4" fontId="6" fillId="3" borderId="1" xfId="0" applyNumberFormat="1" applyFont="1" applyFill="1" applyBorder="1"/>
    <xf numFmtId="0" fontId="6" fillId="3" borderId="1" xfId="0" applyFont="1" applyFill="1" applyBorder="1"/>
    <xf numFmtId="166" fontId="6" fillId="2" borderId="1" xfId="0" applyNumberFormat="1" applyFont="1" applyFill="1" applyBorder="1"/>
    <xf numFmtId="2" fontId="4" fillId="3" borderId="1" xfId="0" applyNumberFormat="1" applyFont="1" applyFill="1" applyBorder="1"/>
    <xf numFmtId="165" fontId="4" fillId="3" borderId="1" xfId="0" applyNumberFormat="1" applyFont="1" applyFill="1" applyBorder="1"/>
    <xf numFmtId="164" fontId="6" fillId="2" borderId="1" xfId="0" applyNumberFormat="1" applyFont="1" applyFill="1" applyBorder="1"/>
    <xf numFmtId="164" fontId="6" fillId="2" borderId="20" xfId="0" applyNumberFormat="1" applyFont="1" applyFill="1" applyBorder="1"/>
    <xf numFmtId="43" fontId="0" fillId="0" borderId="0" xfId="1" applyFont="1"/>
    <xf numFmtId="0" fontId="6" fillId="0" borderId="0" xfId="0" applyFont="1"/>
    <xf numFmtId="0" fontId="8" fillId="0" borderId="0" xfId="0" applyFont="1" applyAlignment="1">
      <alignment horizontal="center" vertical="center"/>
    </xf>
    <xf numFmtId="164" fontId="8" fillId="0" borderId="31" xfId="0" applyNumberFormat="1" applyFont="1" applyBorder="1" applyAlignment="1">
      <alignment horizontal="center" vertical="center"/>
    </xf>
    <xf numFmtId="10" fontId="8" fillId="0" borderId="31" xfId="0" applyNumberFormat="1" applyFont="1" applyBorder="1" applyAlignment="1">
      <alignment horizontal="center"/>
    </xf>
    <xf numFmtId="167" fontId="8" fillId="0" borderId="31" xfId="0" applyNumberFormat="1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8" fillId="0" borderId="31" xfId="0" applyFont="1" applyBorder="1" applyAlignment="1">
      <alignment horizontal="center" vertical="center"/>
    </xf>
    <xf numFmtId="0" fontId="8" fillId="0" borderId="0" xfId="0" applyFont="1"/>
    <xf numFmtId="0" fontId="7" fillId="0" borderId="0" xfId="0" applyFont="1"/>
    <xf numFmtId="0" fontId="9" fillId="0" borderId="0" xfId="0" applyFont="1"/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8" fillId="0" borderId="31" xfId="0" applyFont="1" applyBorder="1" applyAlignment="1">
      <alignment horizontal="center" vertical="center" wrapText="1"/>
    </xf>
    <xf numFmtId="9" fontId="0" fillId="0" borderId="0" xfId="2" applyFont="1"/>
    <xf numFmtId="2" fontId="10" fillId="0" borderId="31" xfId="0" applyNumberFormat="1" applyFont="1" applyBorder="1" applyAlignment="1">
      <alignment horizontal="center"/>
    </xf>
    <xf numFmtId="0" fontId="10" fillId="0" borderId="31" xfId="0" applyFont="1" applyBorder="1" applyAlignment="1">
      <alignment horizontal="center" vertical="center" wrapText="1"/>
    </xf>
    <xf numFmtId="166" fontId="10" fillId="5" borderId="31" xfId="0" applyNumberFormat="1" applyFont="1" applyFill="1" applyBorder="1" applyAlignment="1">
      <alignment horizontal="center" vertical="center"/>
    </xf>
    <xf numFmtId="0" fontId="10" fillId="0" borderId="31" xfId="0" applyFont="1" applyBorder="1" applyAlignment="1">
      <alignment horizontal="center" vertical="center"/>
    </xf>
    <xf numFmtId="2" fontId="10" fillId="5" borderId="31" xfId="0" applyNumberFormat="1" applyFont="1" applyFill="1" applyBorder="1" applyAlignment="1">
      <alignment horizontal="center" vertical="center"/>
    </xf>
    <xf numFmtId="0" fontId="11" fillId="0" borderId="31" xfId="0" applyFont="1" applyBorder="1" applyAlignment="1">
      <alignment horizontal="center" vertical="center"/>
    </xf>
    <xf numFmtId="0" fontId="12" fillId="0" borderId="31" xfId="0" applyFont="1" applyBorder="1" applyAlignment="1">
      <alignment horizontal="center" vertical="center"/>
    </xf>
    <xf numFmtId="9" fontId="10" fillId="5" borderId="31" xfId="0" applyNumberFormat="1" applyFont="1" applyFill="1" applyBorder="1" applyAlignment="1">
      <alignment horizontal="center"/>
    </xf>
    <xf numFmtId="0" fontId="10" fillId="0" borderId="31" xfId="0" applyFont="1" applyBorder="1" applyAlignment="1">
      <alignment horizontal="center"/>
    </xf>
    <xf numFmtId="0" fontId="10" fillId="5" borderId="31" xfId="0" applyFont="1" applyFill="1" applyBorder="1" applyAlignment="1">
      <alignment horizontal="center" vertical="center"/>
    </xf>
    <xf numFmtId="0" fontId="13" fillId="0" borderId="31" xfId="0" applyFont="1" applyBorder="1" applyAlignment="1">
      <alignment horizontal="center" vertical="center"/>
    </xf>
    <xf numFmtId="0" fontId="0" fillId="0" borderId="31" xfId="0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14" fillId="0" borderId="0" xfId="0" applyFont="1"/>
    <xf numFmtId="0" fontId="10" fillId="0" borderId="0" xfId="0" applyFont="1"/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center" wrapText="1"/>
    </xf>
    <xf numFmtId="0" fontId="10" fillId="0" borderId="28" xfId="0" applyFont="1" applyBorder="1" applyAlignment="1">
      <alignment horizontal="center" vertical="center"/>
    </xf>
    <xf numFmtId="0" fontId="0" fillId="5" borderId="0" xfId="0" applyFill="1"/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vertical="center"/>
    </xf>
    <xf numFmtId="2" fontId="10" fillId="0" borderId="31" xfId="0" applyNumberFormat="1" applyFont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horizontal="center" vertical="center"/>
    </xf>
    <xf numFmtId="166" fontId="8" fillId="0" borderId="31" xfId="0" applyNumberFormat="1" applyFont="1" applyBorder="1" applyAlignment="1">
      <alignment horizontal="center" vertical="center"/>
    </xf>
    <xf numFmtId="2" fontId="8" fillId="5" borderId="31" xfId="0" applyNumberFormat="1" applyFont="1" applyFill="1" applyBorder="1" applyAlignment="1">
      <alignment horizontal="center"/>
    </xf>
    <xf numFmtId="2" fontId="8" fillId="5" borderId="31" xfId="0" applyNumberFormat="1" applyFont="1" applyFill="1" applyBorder="1" applyAlignment="1">
      <alignment horizontal="center" vertical="center"/>
    </xf>
    <xf numFmtId="0" fontId="8" fillId="5" borderId="31" xfId="0" applyFont="1" applyFill="1" applyBorder="1" applyAlignment="1">
      <alignment horizontal="center" vertical="center"/>
    </xf>
    <xf numFmtId="0" fontId="8" fillId="6" borderId="31" xfId="0" applyFont="1" applyFill="1" applyBorder="1" applyAlignment="1">
      <alignment horizontal="center" vertical="center"/>
    </xf>
    <xf numFmtId="164" fontId="8" fillId="5" borderId="31" xfId="0" applyNumberFormat="1" applyFont="1" applyFill="1" applyBorder="1" applyAlignment="1">
      <alignment horizontal="center" vertical="center"/>
    </xf>
    <xf numFmtId="2" fontId="8" fillId="0" borderId="31" xfId="0" applyNumberFormat="1" applyFont="1" applyBorder="1" applyAlignment="1">
      <alignment horizontal="center" vertical="center"/>
    </xf>
    <xf numFmtId="2" fontId="18" fillId="0" borderId="0" xfId="0" applyNumberFormat="1" applyFont="1" applyAlignment="1">
      <alignment horizontal="center" vertical="center"/>
    </xf>
    <xf numFmtId="2" fontId="14" fillId="0" borderId="0" xfId="0" applyNumberFormat="1" applyFont="1" applyAlignment="1">
      <alignment horizontal="center" vertical="center"/>
    </xf>
    <xf numFmtId="2" fontId="14" fillId="0" borderId="0" xfId="0" applyNumberFormat="1" applyFont="1" applyAlignment="1">
      <alignment horizontal="center"/>
    </xf>
    <xf numFmtId="0" fontId="0" fillId="7" borderId="0" xfId="0" applyFill="1"/>
    <xf numFmtId="164" fontId="7" fillId="0" borderId="0" xfId="0" applyNumberFormat="1" applyFont="1"/>
    <xf numFmtId="166" fontId="10" fillId="0" borderId="31" xfId="0" applyNumberFormat="1" applyFont="1" applyBorder="1" applyAlignment="1">
      <alignment horizontal="center" vertical="center"/>
    </xf>
    <xf numFmtId="164" fontId="10" fillId="0" borderId="31" xfId="0" applyNumberFormat="1" applyFont="1" applyBorder="1" applyAlignment="1">
      <alignment horizontal="center" vertical="center"/>
    </xf>
    <xf numFmtId="43" fontId="8" fillId="0" borderId="31" xfId="1" applyFont="1" applyBorder="1" applyAlignment="1">
      <alignment horizontal="center" vertical="center"/>
    </xf>
    <xf numFmtId="0" fontId="19" fillId="0" borderId="31" xfId="0" applyFont="1" applyBorder="1" applyAlignment="1">
      <alignment horizontal="center" vertical="center"/>
    </xf>
    <xf numFmtId="166" fontId="19" fillId="0" borderId="31" xfId="0" applyNumberFormat="1" applyFont="1" applyBorder="1" applyAlignment="1">
      <alignment horizontal="center" vertical="center"/>
    </xf>
    <xf numFmtId="2" fontId="19" fillId="5" borderId="31" xfId="0" applyNumberFormat="1" applyFont="1" applyFill="1" applyBorder="1" applyAlignment="1">
      <alignment horizontal="center"/>
    </xf>
    <xf numFmtId="2" fontId="19" fillId="5" borderId="31" xfId="0" applyNumberFormat="1" applyFont="1" applyFill="1" applyBorder="1" applyAlignment="1">
      <alignment horizontal="center" vertical="center"/>
    </xf>
    <xf numFmtId="0" fontId="19" fillId="5" borderId="31" xfId="0" applyFont="1" applyFill="1" applyBorder="1" applyAlignment="1">
      <alignment horizontal="center" vertical="center"/>
    </xf>
    <xf numFmtId="164" fontId="19" fillId="5" borderId="31" xfId="0" applyNumberFormat="1" applyFont="1" applyFill="1" applyBorder="1" applyAlignment="1">
      <alignment horizontal="center" vertical="center"/>
    </xf>
    <xf numFmtId="2" fontId="19" fillId="0" borderId="31" xfId="0" applyNumberFormat="1" applyFont="1" applyBorder="1" applyAlignment="1">
      <alignment horizontal="center" vertical="center"/>
    </xf>
    <xf numFmtId="43" fontId="8" fillId="0" borderId="31" xfId="1" applyFont="1" applyBorder="1" applyAlignment="1">
      <alignment horizontal="center"/>
    </xf>
    <xf numFmtId="0" fontId="8" fillId="0" borderId="32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10" fillId="0" borderId="34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0" fillId="0" borderId="31" xfId="0" applyFont="1" applyBorder="1" applyAlignment="1">
      <alignment horizontal="center" vertical="center" wrapText="1"/>
    </xf>
    <xf numFmtId="0" fontId="15" fillId="0" borderId="31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 wrapText="1"/>
    </xf>
    <xf numFmtId="0" fontId="10" fillId="0" borderId="34" xfId="0" applyFont="1" applyBorder="1" applyAlignment="1">
      <alignment horizontal="center" vertical="center" wrapText="1"/>
    </xf>
    <xf numFmtId="0" fontId="10" fillId="0" borderId="33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1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8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3">
    <cellStyle name="Normal" xfId="0" builtinId="0"/>
    <cellStyle name="Porcentagem" xfId="2" builtin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png"/><Relationship Id="rId1" Type="http://schemas.openxmlformats.org/officeDocument/2006/relationships/image" Target="../media/image4.png"/><Relationship Id="rId5" Type="http://schemas.openxmlformats.org/officeDocument/2006/relationships/image" Target="../media/image8.png"/><Relationship Id="rId4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545386</xdr:colOff>
      <xdr:row>0</xdr:row>
      <xdr:rowOff>0</xdr:rowOff>
    </xdr:from>
    <xdr:to>
      <xdr:col>18</xdr:col>
      <xdr:colOff>1080932</xdr:colOff>
      <xdr:row>8</xdr:row>
      <xdr:rowOff>672193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7FBB0A5B-8AD6-405E-A327-50288B1D60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990126" y="0"/>
          <a:ext cx="5256136" cy="279055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440531</xdr:colOff>
      <xdr:row>2</xdr:row>
      <xdr:rowOff>0</xdr:rowOff>
    </xdr:from>
    <xdr:to>
      <xdr:col>8</xdr:col>
      <xdr:colOff>626269</xdr:colOff>
      <xdr:row>4</xdr:row>
      <xdr:rowOff>76200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895F1107-7BAC-43B2-8167-3EE82CF2C4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07731" y="365760"/>
          <a:ext cx="780098" cy="4419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61</xdr:row>
      <xdr:rowOff>0</xdr:rowOff>
    </xdr:from>
    <xdr:to>
      <xdr:col>11</xdr:col>
      <xdr:colOff>246239</xdr:colOff>
      <xdr:row>65</xdr:row>
      <xdr:rowOff>22028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95DDBED6-EF5E-7477-1D61-824EAFCA5D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207624" y="11187953"/>
          <a:ext cx="1806097" cy="73920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834775</xdr:colOff>
      <xdr:row>64</xdr:row>
      <xdr:rowOff>74915</xdr:rowOff>
    </xdr:from>
    <xdr:to>
      <xdr:col>8</xdr:col>
      <xdr:colOff>93202</xdr:colOff>
      <xdr:row>70</xdr:row>
      <xdr:rowOff>58119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232FB15F-73A5-49A0-88E1-A454774D1E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820702" y="9717640"/>
          <a:ext cx="2504762" cy="1142857"/>
        </a:xfrm>
        <a:prstGeom prst="rect">
          <a:avLst/>
        </a:prstGeom>
      </xdr:spPr>
    </xdr:pic>
    <xdr:clientData/>
  </xdr:twoCellAnchor>
  <xdr:twoCellAnchor editAs="oneCell">
    <xdr:from>
      <xdr:col>10</xdr:col>
      <xdr:colOff>252060</xdr:colOff>
      <xdr:row>58</xdr:row>
      <xdr:rowOff>29024</xdr:rowOff>
    </xdr:from>
    <xdr:to>
      <xdr:col>13</xdr:col>
      <xdr:colOff>258513</xdr:colOff>
      <xdr:row>61</xdr:row>
      <xdr:rowOff>142531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42CE3E2D-F779-49E4-AD9C-A8E037A4CE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521540" y="11047544"/>
          <a:ext cx="2216253" cy="662147"/>
        </a:xfrm>
        <a:prstGeom prst="rect">
          <a:avLst/>
        </a:prstGeom>
      </xdr:spPr>
    </xdr:pic>
    <xdr:clientData/>
  </xdr:twoCellAnchor>
  <xdr:twoCellAnchor editAs="oneCell">
    <xdr:from>
      <xdr:col>10</xdr:col>
      <xdr:colOff>190843</xdr:colOff>
      <xdr:row>55</xdr:row>
      <xdr:rowOff>83649</xdr:rowOff>
    </xdr:from>
    <xdr:to>
      <xdr:col>12</xdr:col>
      <xdr:colOff>243280</xdr:colOff>
      <xdr:row>57</xdr:row>
      <xdr:rowOff>150973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132A46DB-C8E2-474D-841A-FACA3072F5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460323" y="10553529"/>
          <a:ext cx="1606917" cy="433084"/>
        </a:xfrm>
        <a:prstGeom prst="rect">
          <a:avLst/>
        </a:prstGeom>
      </xdr:spPr>
    </xdr:pic>
    <xdr:clientData/>
  </xdr:twoCellAnchor>
  <xdr:twoCellAnchor editAs="oneCell">
    <xdr:from>
      <xdr:col>21</xdr:col>
      <xdr:colOff>1</xdr:colOff>
      <xdr:row>53</xdr:row>
      <xdr:rowOff>0</xdr:rowOff>
    </xdr:from>
    <xdr:to>
      <xdr:col>29</xdr:col>
      <xdr:colOff>439259</xdr:colOff>
      <xdr:row>78</xdr:row>
      <xdr:rowOff>16607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71AFD351-592D-4DEC-BCE4-416526B277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9199832" y="4858820"/>
          <a:ext cx="5695238" cy="4819048"/>
        </a:xfrm>
        <a:prstGeom prst="rect">
          <a:avLst/>
        </a:prstGeom>
      </xdr:spPr>
    </xdr:pic>
    <xdr:clientData/>
  </xdr:twoCellAnchor>
  <xdr:twoCellAnchor editAs="oneCell">
    <xdr:from>
      <xdr:col>7</xdr:col>
      <xdr:colOff>299664</xdr:colOff>
      <xdr:row>57</xdr:row>
      <xdr:rowOff>128426</xdr:rowOff>
    </xdr:from>
    <xdr:to>
      <xdr:col>9</xdr:col>
      <xdr:colOff>800529</xdr:colOff>
      <xdr:row>63</xdr:row>
      <xdr:rowOff>35741</xdr:rowOff>
    </xdr:to>
    <xdr:pic>
      <xdr:nvPicPr>
        <xdr:cNvPr id="8" name="Imagem 7">
          <a:extLst>
            <a:ext uri="{FF2B5EF4-FFF2-40B4-BE49-F238E27FC236}">
              <a16:creationId xmlns:a16="http://schemas.microsoft.com/office/drawing/2014/main" id="{BC996F77-2F63-429E-A076-1051E79E48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7074186" y="8422668"/>
          <a:ext cx="1733764" cy="10631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77782-E1C4-4328-AA33-AA6C09F06C7A}">
  <dimension ref="A1:AM53"/>
  <sheetViews>
    <sheetView view="pageBreakPreview" topLeftCell="A7" zoomScale="70" zoomScaleNormal="80" zoomScaleSheetLayoutView="70" workbookViewId="0">
      <selection activeCell="I14" sqref="I14"/>
    </sheetView>
  </sheetViews>
  <sheetFormatPr defaultRowHeight="15.6" x14ac:dyDescent="0.3"/>
  <cols>
    <col min="1" max="1" width="18.88671875" bestFit="1" customWidth="1"/>
    <col min="2" max="3" width="8.88671875" customWidth="1"/>
    <col min="4" max="4" width="13.44140625" bestFit="1" customWidth="1"/>
    <col min="5" max="5" width="11.88671875" bestFit="1" customWidth="1"/>
    <col min="6" max="6" width="8.88671875" customWidth="1"/>
    <col min="7" max="7" width="9.88671875" bestFit="1" customWidth="1"/>
    <col min="8" max="8" width="8.88671875" style="107" customWidth="1"/>
    <col min="9" max="10" width="8.88671875" customWidth="1"/>
    <col min="11" max="11" width="10" customWidth="1"/>
    <col min="12" max="12" width="9.5546875" customWidth="1"/>
    <col min="13" max="13" width="12.77734375" bestFit="1" customWidth="1"/>
    <col min="14" max="17" width="8.88671875" customWidth="1"/>
    <col min="18" max="18" width="11" customWidth="1"/>
    <col min="19" max="19" width="18.109375" bestFit="1" customWidth="1"/>
    <col min="20" max="20" width="16.109375" customWidth="1"/>
    <col min="21" max="21" width="12" customWidth="1"/>
  </cols>
  <sheetData>
    <row r="1" spans="1:39" x14ac:dyDescent="0.3">
      <c r="A1" s="106"/>
      <c r="B1" s="106"/>
      <c r="C1" s="106"/>
      <c r="D1" s="106"/>
      <c r="E1" s="106"/>
      <c r="F1" s="106"/>
      <c r="O1" s="84"/>
      <c r="P1" s="84"/>
      <c r="Q1" s="84"/>
      <c r="R1" s="84"/>
      <c r="U1" s="145" t="s">
        <v>244</v>
      </c>
      <c r="V1" s="146"/>
    </row>
    <row r="2" spans="1:39" x14ac:dyDescent="0.3">
      <c r="A2" s="147" t="s">
        <v>249</v>
      </c>
      <c r="B2" s="147" t="s">
        <v>250</v>
      </c>
      <c r="C2" s="108"/>
      <c r="D2" s="108" t="s">
        <v>74</v>
      </c>
      <c r="E2" s="109">
        <v>10</v>
      </c>
      <c r="F2" s="106"/>
      <c r="I2" s="148" t="s">
        <v>245</v>
      </c>
      <c r="J2" s="148"/>
      <c r="O2" s="84"/>
      <c r="P2" s="84"/>
      <c r="Q2" s="84"/>
      <c r="R2" s="84"/>
      <c r="U2" s="95" t="s">
        <v>240</v>
      </c>
      <c r="V2" s="101">
        <v>0.1</v>
      </c>
    </row>
    <row r="3" spans="1:39" x14ac:dyDescent="0.3">
      <c r="A3" s="147"/>
      <c r="B3" s="147"/>
      <c r="C3" s="108"/>
      <c r="D3" s="108" t="s">
        <v>239</v>
      </c>
      <c r="E3" s="109">
        <v>274.06</v>
      </c>
      <c r="F3" s="106"/>
      <c r="I3" s="93" t="s">
        <v>241</v>
      </c>
      <c r="J3" s="93">
        <f>Sarjetas!B2</f>
        <v>3609.11</v>
      </c>
      <c r="O3" s="84"/>
      <c r="P3" s="84"/>
      <c r="Q3" s="84"/>
      <c r="R3" s="84"/>
      <c r="U3" s="100" t="s">
        <v>231</v>
      </c>
      <c r="V3" s="99">
        <v>0.03</v>
      </c>
    </row>
    <row r="4" spans="1:39" x14ac:dyDescent="0.3">
      <c r="A4" s="147"/>
      <c r="B4" s="147"/>
      <c r="C4" s="108"/>
      <c r="D4" s="108" t="s">
        <v>238</v>
      </c>
      <c r="E4" s="109">
        <v>28</v>
      </c>
      <c r="F4" s="106"/>
      <c r="I4" s="93" t="s">
        <v>239</v>
      </c>
      <c r="J4" s="93">
        <f>Sarjetas!B3</f>
        <v>0.12</v>
      </c>
      <c r="O4" s="84"/>
      <c r="P4" s="84"/>
      <c r="Q4" s="84"/>
      <c r="R4" s="84"/>
      <c r="U4" s="95" t="s">
        <v>91</v>
      </c>
      <c r="V4" s="96">
        <f>V2/V3</f>
        <v>3.3333333333333335</v>
      </c>
    </row>
    <row r="5" spans="1:39" x14ac:dyDescent="0.3">
      <c r="A5" s="147"/>
      <c r="B5" s="147"/>
      <c r="C5" s="108"/>
      <c r="D5" s="108" t="s">
        <v>237</v>
      </c>
      <c r="E5" s="109">
        <v>4</v>
      </c>
      <c r="F5" s="106"/>
      <c r="I5" s="93" t="s">
        <v>238</v>
      </c>
      <c r="J5" s="93">
        <f>Sarjetas!B4</f>
        <v>30</v>
      </c>
      <c r="O5" s="84"/>
      <c r="P5" s="84"/>
      <c r="Q5" s="84"/>
      <c r="R5" s="84"/>
      <c r="U5" s="95" t="s">
        <v>236</v>
      </c>
      <c r="V5" s="96">
        <f>V2+(((V2^2)+(V4^2))^0.5)</f>
        <v>3.4348329959851234</v>
      </c>
    </row>
    <row r="6" spans="1:39" x14ac:dyDescent="0.3">
      <c r="A6" s="147"/>
      <c r="B6" s="147"/>
      <c r="C6" s="108"/>
      <c r="D6" s="108" t="s">
        <v>251</v>
      </c>
      <c r="E6" s="109">
        <v>0.56000000000000005</v>
      </c>
      <c r="F6" s="106"/>
      <c r="I6" s="93" t="s">
        <v>237</v>
      </c>
      <c r="J6" s="93">
        <f>Sarjetas!B5</f>
        <v>0.95</v>
      </c>
      <c r="O6" s="84"/>
      <c r="P6" s="84"/>
      <c r="Q6" s="84"/>
      <c r="R6" s="84"/>
      <c r="U6" s="95" t="s">
        <v>234</v>
      </c>
      <c r="V6" s="96">
        <f>V2*V4/2</f>
        <v>0.16666666666666669</v>
      </c>
    </row>
    <row r="7" spans="1:39" ht="57.6" x14ac:dyDescent="0.3">
      <c r="A7" s="147"/>
      <c r="B7" s="110" t="s">
        <v>5</v>
      </c>
      <c r="C7" s="110"/>
      <c r="D7" s="108" t="s">
        <v>252</v>
      </c>
      <c r="E7" s="108">
        <v>0.8</v>
      </c>
      <c r="F7" s="106"/>
      <c r="I7" s="93" t="s">
        <v>235</v>
      </c>
      <c r="J7" s="93">
        <f>Sarjetas!B6</f>
        <v>5</v>
      </c>
      <c r="O7" s="84"/>
      <c r="P7" s="84"/>
      <c r="Q7" s="84"/>
      <c r="R7" s="84"/>
      <c r="U7" s="95" t="s">
        <v>232</v>
      </c>
      <c r="V7" s="94">
        <f>V6/V5</f>
        <v>4.8522494939776846E-2</v>
      </c>
      <c r="Y7" t="s">
        <v>253</v>
      </c>
    </row>
    <row r="8" spans="1:39" x14ac:dyDescent="0.3">
      <c r="A8" s="147"/>
      <c r="B8" s="109"/>
      <c r="C8" s="109"/>
      <c r="D8" s="108" t="s">
        <v>254</v>
      </c>
      <c r="E8" s="109">
        <v>0.61</v>
      </c>
      <c r="F8" s="106" t="s">
        <v>255</v>
      </c>
      <c r="I8" s="93" t="s">
        <v>233</v>
      </c>
      <c r="J8" s="93">
        <v>5</v>
      </c>
      <c r="O8" s="84"/>
      <c r="P8" s="84"/>
      <c r="Q8" s="84"/>
      <c r="R8" s="84"/>
      <c r="U8" s="111" t="s">
        <v>224</v>
      </c>
      <c r="V8" s="112">
        <v>1.2999999999999999E-2</v>
      </c>
    </row>
    <row r="9" spans="1:39" ht="57.6" x14ac:dyDescent="0.3">
      <c r="A9" s="147"/>
      <c r="B9" s="113" t="s">
        <v>78</v>
      </c>
      <c r="C9" s="113"/>
      <c r="D9" s="113" t="s">
        <v>256</v>
      </c>
      <c r="E9" s="109"/>
      <c r="F9" s="114" t="s">
        <v>257</v>
      </c>
      <c r="I9" s="93" t="s">
        <v>231</v>
      </c>
      <c r="J9" s="115">
        <f>(J3*(J7^J4))/((J8+J5)^J6)</f>
        <v>149.42108211326459</v>
      </c>
      <c r="O9" s="84"/>
      <c r="P9" s="84"/>
      <c r="Q9" s="84"/>
      <c r="R9" s="84"/>
    </row>
    <row r="10" spans="1:39" x14ac:dyDescent="0.3">
      <c r="O10" s="84"/>
      <c r="P10" s="84"/>
      <c r="Q10" s="84"/>
      <c r="R10" s="84"/>
      <c r="W10" s="106"/>
      <c r="X10" s="106"/>
      <c r="Y10" s="106"/>
      <c r="Z10" s="106"/>
      <c r="AA10" s="106"/>
      <c r="AB10" s="106"/>
      <c r="AC10" s="106"/>
      <c r="AD10" s="106"/>
      <c r="AE10" s="106"/>
      <c r="AF10" s="106"/>
      <c r="AG10" s="106"/>
      <c r="AH10" s="106"/>
      <c r="AI10" s="106"/>
      <c r="AJ10" s="106"/>
      <c r="AK10" s="106"/>
    </row>
    <row r="11" spans="1:39" x14ac:dyDescent="0.3">
      <c r="O11" s="84"/>
      <c r="P11" s="84"/>
      <c r="Q11" s="84"/>
      <c r="R11" s="84"/>
      <c r="W11" s="106"/>
      <c r="X11" s="106"/>
      <c r="Y11" s="106"/>
      <c r="Z11" s="106"/>
      <c r="AA11" s="106"/>
      <c r="AB11" s="106"/>
      <c r="AC11" s="106"/>
      <c r="AD11" s="106"/>
      <c r="AE11" s="106"/>
      <c r="AF11" s="106"/>
      <c r="AG11" s="106"/>
      <c r="AH11" s="106"/>
      <c r="AI11" s="106"/>
      <c r="AJ11" s="106"/>
      <c r="AK11" s="106"/>
    </row>
    <row r="12" spans="1:39" x14ac:dyDescent="0.3">
      <c r="A12" s="149" t="s">
        <v>258</v>
      </c>
      <c r="B12" s="149"/>
      <c r="C12" s="149"/>
      <c r="D12" s="149"/>
      <c r="E12" s="149"/>
      <c r="F12" s="149"/>
      <c r="G12" s="149"/>
      <c r="H12" s="149"/>
      <c r="I12" s="149"/>
      <c r="J12" s="149"/>
      <c r="K12" s="149"/>
      <c r="L12" s="149"/>
      <c r="M12" s="149"/>
      <c r="N12" s="149"/>
      <c r="O12" s="149"/>
      <c r="P12" s="149"/>
      <c r="Q12" s="149"/>
      <c r="R12" s="149"/>
      <c r="S12" s="149"/>
      <c r="T12" s="149"/>
      <c r="U12" s="149"/>
      <c r="V12" s="116"/>
      <c r="W12" s="117"/>
      <c r="X12" s="106"/>
      <c r="Y12" s="106"/>
      <c r="Z12" s="106"/>
      <c r="AA12" s="106"/>
      <c r="AB12" s="106"/>
      <c r="AC12" s="106"/>
      <c r="AD12" s="106"/>
      <c r="AE12" s="106"/>
      <c r="AF12" s="106"/>
      <c r="AG12" s="106"/>
      <c r="AH12" s="106"/>
      <c r="AI12" s="106"/>
      <c r="AJ12" s="106"/>
      <c r="AK12" s="106"/>
    </row>
    <row r="13" spans="1:39" ht="31.2" x14ac:dyDescent="0.3">
      <c r="A13" s="82" t="s">
        <v>229</v>
      </c>
      <c r="B13" s="82" t="s">
        <v>0</v>
      </c>
      <c r="C13" s="82" t="s">
        <v>296</v>
      </c>
      <c r="D13" s="82" t="s">
        <v>259</v>
      </c>
      <c r="E13" s="82" t="s">
        <v>260</v>
      </c>
      <c r="F13" s="90" t="s">
        <v>15</v>
      </c>
      <c r="G13" s="90" t="s">
        <v>261</v>
      </c>
      <c r="H13" s="105" t="s">
        <v>262</v>
      </c>
      <c r="I13" s="90" t="s">
        <v>263</v>
      </c>
      <c r="J13" s="90" t="s">
        <v>264</v>
      </c>
      <c r="K13" s="90" t="s">
        <v>265</v>
      </c>
      <c r="L13" s="90" t="s">
        <v>252</v>
      </c>
      <c r="M13" s="90" t="s">
        <v>266</v>
      </c>
      <c r="N13" s="90" t="s">
        <v>267</v>
      </c>
      <c r="O13" s="90" t="s">
        <v>268</v>
      </c>
      <c r="P13" s="90" t="s">
        <v>269</v>
      </c>
      <c r="Q13" s="90" t="s">
        <v>270</v>
      </c>
      <c r="R13" s="90" t="s">
        <v>271</v>
      </c>
      <c r="S13" s="82" t="s">
        <v>272</v>
      </c>
      <c r="T13" s="90" t="s">
        <v>273</v>
      </c>
      <c r="U13" s="82" t="s">
        <v>272</v>
      </c>
      <c r="Y13" s="106"/>
      <c r="Z13" s="106"/>
      <c r="AA13" s="118" t="s">
        <v>274</v>
      </c>
      <c r="AB13" s="118" t="s">
        <v>275</v>
      </c>
      <c r="AC13" s="118" t="s">
        <v>276</v>
      </c>
      <c r="AD13" s="118" t="s">
        <v>277</v>
      </c>
      <c r="AE13" s="118" t="s">
        <v>278</v>
      </c>
      <c r="AF13" s="106"/>
      <c r="AG13" s="106"/>
      <c r="AH13" s="106"/>
      <c r="AI13" s="114" t="s">
        <v>279</v>
      </c>
      <c r="AJ13" s="114" t="s">
        <v>280</v>
      </c>
      <c r="AK13" s="114"/>
      <c r="AL13" s="114"/>
      <c r="AM13" s="106"/>
    </row>
    <row r="14" spans="1:39" x14ac:dyDescent="0.3">
      <c r="A14" s="142" t="s">
        <v>283</v>
      </c>
      <c r="B14" s="142" t="s">
        <v>171</v>
      </c>
      <c r="C14" s="104" t="s">
        <v>297</v>
      </c>
      <c r="D14" s="82">
        <v>7.8719999999999999</v>
      </c>
      <c r="E14" s="82">
        <v>5.3789999999999996</v>
      </c>
      <c r="F14" s="133">
        <v>98.078000000000003</v>
      </c>
      <c r="G14" s="119">
        <f>(D14-E14)/F14</f>
        <v>2.5418544423825937E-2</v>
      </c>
      <c r="H14" s="120">
        <f t="shared" ref="H14:H34" si="0">F14/T14/60</f>
        <v>1.6807966627304789</v>
      </c>
      <c r="I14" s="121">
        <v>10</v>
      </c>
      <c r="J14" s="121">
        <v>5</v>
      </c>
      <c r="K14" s="121">
        <f t="shared" ref="K14:K34" si="1">($J$3*($J$7^$J$4))/((J14+$J$5)^$J$6)</f>
        <v>149.42108211326459</v>
      </c>
      <c r="L14" s="122">
        <v>0.9</v>
      </c>
      <c r="M14" s="133">
        <f>42303.9012/2</f>
        <v>21151.9506</v>
      </c>
      <c r="N14" s="123">
        <f>M14/1000000</f>
        <v>2.11519506E-2</v>
      </c>
      <c r="O14" s="124">
        <f>0.278*L14*K14*N14</f>
        <v>0.7907689463340708</v>
      </c>
      <c r="P14" s="122">
        <v>0</v>
      </c>
      <c r="Q14" s="124">
        <f t="shared" ref="Q14:Q16" si="2">P14+O14</f>
        <v>0.7907689463340708</v>
      </c>
      <c r="R14" s="121">
        <f t="shared" ref="R14:R34" si="3">(($V$6*($V$7^(2/3))*(G14^0.5)/$V$8))*2</f>
        <v>0.54384208708558912</v>
      </c>
      <c r="S14" s="82" t="str">
        <f>IF(Q14&lt;R14,"Ok","Usar boca de lobo")</f>
        <v>Usar boca de lobo</v>
      </c>
      <c r="T14" s="125">
        <f>Sarjetas!J12</f>
        <v>0.97253485182309174</v>
      </c>
      <c r="U14" s="125" t="str">
        <f>IF(T14&lt;3,"Ok","Usar boca de lobo")</f>
        <v>Ok</v>
      </c>
      <c r="Y14" s="106"/>
      <c r="Z14" s="106"/>
      <c r="AA14" s="126">
        <v>10</v>
      </c>
      <c r="AB14" s="126">
        <v>180</v>
      </c>
      <c r="AC14" s="126">
        <v>7</v>
      </c>
      <c r="AD14" s="126">
        <v>793.97</v>
      </c>
      <c r="AE14" s="126">
        <v>220</v>
      </c>
      <c r="AF14" s="106"/>
      <c r="AG14" s="106"/>
      <c r="AH14" s="106"/>
      <c r="AI14" s="114"/>
      <c r="AJ14" s="108" t="s">
        <v>281</v>
      </c>
      <c r="AK14" s="106"/>
      <c r="AL14" s="108" t="s">
        <v>282</v>
      </c>
      <c r="AM14" s="106"/>
    </row>
    <row r="15" spans="1:39" x14ac:dyDescent="0.3">
      <c r="A15" s="143"/>
      <c r="B15" s="143"/>
      <c r="C15" s="104" t="s">
        <v>298</v>
      </c>
      <c r="D15" s="82">
        <f>D14</f>
        <v>7.8719999999999999</v>
      </c>
      <c r="E15" s="82">
        <f>E14</f>
        <v>5.3789999999999996</v>
      </c>
      <c r="F15" s="133">
        <f>F14</f>
        <v>98.078000000000003</v>
      </c>
      <c r="G15" s="119">
        <f t="shared" ref="G15:G34" si="4">(D15-E15)/F15</f>
        <v>2.5418544423825937E-2</v>
      </c>
      <c r="H15" s="120">
        <f t="shared" si="0"/>
        <v>1.6807966627304789</v>
      </c>
      <c r="I15" s="121">
        <v>10</v>
      </c>
      <c r="J15" s="121">
        <f t="shared" ref="J15:J40" si="5">H15+I15</f>
        <v>11.680796662730479</v>
      </c>
      <c r="K15" s="121">
        <f t="shared" si="1"/>
        <v>126.57190270620514</v>
      </c>
      <c r="L15" s="122">
        <v>0.9</v>
      </c>
      <c r="M15" s="133">
        <v>25872.778999999999</v>
      </c>
      <c r="N15" s="123">
        <f t="shared" ref="N15:N40" si="6">M15/1000000</f>
        <v>2.5872778999999999E-2</v>
      </c>
      <c r="O15" s="124">
        <f t="shared" ref="O15:O34" si="7">0.278*L15*K15*N15</f>
        <v>0.81934666995505234</v>
      </c>
      <c r="P15" s="122">
        <v>0</v>
      </c>
      <c r="Q15" s="124">
        <f>P15+O15</f>
        <v>0.81934666995505234</v>
      </c>
      <c r="R15" s="121">
        <f t="shared" si="3"/>
        <v>0.54384208708558912</v>
      </c>
      <c r="S15" s="82" t="str">
        <f t="shared" ref="S15:S34" si="8">IF(Q15&lt;R15,"Ok","Usar boca de lobo")</f>
        <v>Usar boca de lobo</v>
      </c>
      <c r="T15" s="125">
        <f>Sarjetas!J13</f>
        <v>0.97253485182309174</v>
      </c>
      <c r="U15" s="125" t="str">
        <f t="shared" ref="U15:U34" si="9">IF(T15&lt;3,"Ok","Usar boca de lobo")</f>
        <v>Ok</v>
      </c>
      <c r="Y15" s="106"/>
      <c r="Z15" s="106"/>
      <c r="AA15" s="118"/>
      <c r="AB15" s="118"/>
      <c r="AC15" s="118"/>
      <c r="AD15" s="118"/>
      <c r="AE15" s="118"/>
      <c r="AF15" s="106"/>
      <c r="AG15" s="108"/>
      <c r="AH15" s="108"/>
      <c r="AI15" s="127" t="e">
        <f>#REF!/1000000</f>
        <v>#REF!</v>
      </c>
      <c r="AJ15" s="128" t="e">
        <f>0.278*#REF!*AI15*E7*1000</f>
        <v>#REF!</v>
      </c>
      <c r="AK15" s="106"/>
      <c r="AL15" s="128" t="e">
        <f>IF(AJ15&gt;AB14,AJ15-AB14,0)</f>
        <v>#REF!</v>
      </c>
      <c r="AM15" s="106"/>
    </row>
    <row r="16" spans="1:39" x14ac:dyDescent="0.3">
      <c r="A16" s="142" t="s">
        <v>284</v>
      </c>
      <c r="B16" s="142" t="s">
        <v>172</v>
      </c>
      <c r="C16" s="104" t="s">
        <v>297</v>
      </c>
      <c r="D16" s="82">
        <v>7.8719999999999999</v>
      </c>
      <c r="E16" s="82">
        <v>7.7949999999999999</v>
      </c>
      <c r="F16" s="133">
        <v>20</v>
      </c>
      <c r="G16" s="119">
        <f t="shared" si="4"/>
        <v>3.849999999999998E-3</v>
      </c>
      <c r="H16" s="120">
        <f t="shared" si="0"/>
        <v>0.88068083500041583</v>
      </c>
      <c r="I16" s="121">
        <v>10</v>
      </c>
      <c r="J16" s="121">
        <f t="shared" si="5"/>
        <v>10.880680835000415</v>
      </c>
      <c r="K16" s="121">
        <f t="shared" si="1"/>
        <v>128.9241584923702</v>
      </c>
      <c r="L16" s="122">
        <v>0.9</v>
      </c>
      <c r="M16" s="133">
        <f>15496.418-M18</f>
        <v>7714.0727999999999</v>
      </c>
      <c r="N16" s="123">
        <f t="shared" si="6"/>
        <v>7.7140728E-3</v>
      </c>
      <c r="O16" s="124">
        <f t="shared" si="7"/>
        <v>0.2488314921410783</v>
      </c>
      <c r="P16" s="122">
        <v>0</v>
      </c>
      <c r="Q16" s="124">
        <f t="shared" si="2"/>
        <v>0.2488314921410783</v>
      </c>
      <c r="R16" s="121">
        <f t="shared" si="3"/>
        <v>0.21165466254764892</v>
      </c>
      <c r="S16" s="82" t="str">
        <f t="shared" si="8"/>
        <v>Usar boca de lobo</v>
      </c>
      <c r="T16" s="125">
        <f>Sarjetas!J14</f>
        <v>0.37849504620272101</v>
      </c>
      <c r="U16" s="125" t="str">
        <f t="shared" si="9"/>
        <v>Ok</v>
      </c>
      <c r="W16" t="e">
        <f>E18-#REF!</f>
        <v>#REF!</v>
      </c>
      <c r="X16" t="e">
        <f>W16/50</f>
        <v>#REF!</v>
      </c>
      <c r="Y16" s="106"/>
      <c r="Z16" s="106"/>
      <c r="AA16" s="118"/>
      <c r="AB16" s="118"/>
      <c r="AC16" s="118"/>
      <c r="AD16" s="118"/>
      <c r="AE16" s="118"/>
      <c r="AF16" s="106"/>
      <c r="AG16" s="108"/>
      <c r="AH16" s="108"/>
      <c r="AI16" s="127"/>
      <c r="AJ16" s="128"/>
      <c r="AK16" s="106"/>
      <c r="AL16" s="128"/>
      <c r="AM16" s="106"/>
    </row>
    <row r="17" spans="1:39" x14ac:dyDescent="0.3">
      <c r="A17" s="143"/>
      <c r="B17" s="143"/>
      <c r="C17" s="104" t="s">
        <v>298</v>
      </c>
      <c r="D17" s="82">
        <f>D16</f>
        <v>7.8719999999999999</v>
      </c>
      <c r="E17" s="82">
        <f>E16</f>
        <v>7.7949999999999999</v>
      </c>
      <c r="F17" s="133">
        <v>20</v>
      </c>
      <c r="G17" s="119">
        <f t="shared" si="4"/>
        <v>3.849999999999998E-3</v>
      </c>
      <c r="H17" s="120">
        <f t="shared" si="0"/>
        <v>0.88068083500041583</v>
      </c>
      <c r="I17" s="121">
        <f>J15</f>
        <v>11.680796662730479</v>
      </c>
      <c r="J17" s="121">
        <f t="shared" si="5"/>
        <v>12.561477497730895</v>
      </c>
      <c r="K17" s="121">
        <f t="shared" si="1"/>
        <v>124.08253523961915</v>
      </c>
      <c r="L17" s="122">
        <v>0.9</v>
      </c>
      <c r="M17" s="133">
        <v>13366.4866</v>
      </c>
      <c r="N17" s="123">
        <f t="shared" si="6"/>
        <v>1.33664866E-2</v>
      </c>
      <c r="O17" s="124">
        <f t="shared" si="7"/>
        <v>0.4149685956525142</v>
      </c>
      <c r="P17" s="124">
        <f>Q14+Q15+Q16</f>
        <v>1.8589471084302016</v>
      </c>
      <c r="Q17" s="124">
        <f>P17+O17</f>
        <v>2.2739157040827158</v>
      </c>
      <c r="R17" s="121">
        <f t="shared" si="3"/>
        <v>0.21165466254764892</v>
      </c>
      <c r="S17" s="82" t="str">
        <f t="shared" si="8"/>
        <v>Usar boca de lobo</v>
      </c>
      <c r="T17" s="125">
        <f>Sarjetas!J15</f>
        <v>0.37849504620272101</v>
      </c>
      <c r="U17" s="125" t="str">
        <f t="shared" si="9"/>
        <v>Ok</v>
      </c>
      <c r="Y17" s="106"/>
      <c r="Z17" s="84">
        <v>3213213</v>
      </c>
      <c r="AA17" s="118"/>
      <c r="AB17" s="118"/>
      <c r="AC17" s="118"/>
      <c r="AD17" s="118"/>
      <c r="AE17" s="118"/>
      <c r="AF17" s="106"/>
      <c r="AG17" s="108"/>
      <c r="AH17" s="108"/>
      <c r="AI17" s="108"/>
      <c r="AJ17" s="109"/>
      <c r="AK17" s="109"/>
      <c r="AL17" s="109"/>
      <c r="AM17" s="106"/>
    </row>
    <row r="18" spans="1:39" x14ac:dyDescent="0.3">
      <c r="A18" s="142" t="s">
        <v>285</v>
      </c>
      <c r="B18" s="142" t="s">
        <v>173</v>
      </c>
      <c r="C18" s="104" t="s">
        <v>297</v>
      </c>
      <c r="D18" s="82">
        <v>7.7949999999999999</v>
      </c>
      <c r="E18" s="82">
        <v>7.6109999999999998</v>
      </c>
      <c r="F18" s="133">
        <v>40</v>
      </c>
      <c r="G18" s="135">
        <f t="shared" si="4"/>
        <v>4.6000000000000043E-3</v>
      </c>
      <c r="H18" s="136">
        <f t="shared" si="0"/>
        <v>1.6113874989606238</v>
      </c>
      <c r="I18" s="137">
        <f>J17</f>
        <v>12.561477497730895</v>
      </c>
      <c r="J18" s="121">
        <f t="shared" si="5"/>
        <v>14.172864996691519</v>
      </c>
      <c r="K18" s="137">
        <f t="shared" si="1"/>
        <v>119.77846132258792</v>
      </c>
      <c r="L18" s="138">
        <v>0.9</v>
      </c>
      <c r="M18" s="133">
        <v>7782.3451999999997</v>
      </c>
      <c r="N18" s="123">
        <f t="shared" si="6"/>
        <v>7.7823451999999996E-3</v>
      </c>
      <c r="O18" s="139">
        <f t="shared" si="7"/>
        <v>0.2332257648510144</v>
      </c>
      <c r="P18" s="139">
        <f>Q17</f>
        <v>2.2739157040827158</v>
      </c>
      <c r="Q18" s="139">
        <f t="shared" ref="Q18:Q40" si="10">P18+O18</f>
        <v>2.5071414689337304</v>
      </c>
      <c r="R18" s="137">
        <f t="shared" si="3"/>
        <v>0.23135366889022838</v>
      </c>
      <c r="S18" s="134" t="str">
        <f t="shared" si="8"/>
        <v>Usar boca de lobo</v>
      </c>
      <c r="T18" s="140">
        <f>Sarjetas!J16</f>
        <v>0.41372212897064153</v>
      </c>
      <c r="U18" s="140" t="str">
        <f t="shared" si="9"/>
        <v>Ok</v>
      </c>
      <c r="Y18" s="106"/>
      <c r="Z18" s="106"/>
      <c r="AA18" s="118"/>
      <c r="AB18" s="118"/>
      <c r="AC18" s="118"/>
      <c r="AD18" s="118"/>
      <c r="AE18" s="118"/>
      <c r="AF18" s="106"/>
      <c r="AG18" s="108"/>
      <c r="AH18" s="108"/>
      <c r="AI18" s="108"/>
      <c r="AJ18" s="109"/>
      <c r="AK18" s="109"/>
      <c r="AL18" s="109"/>
      <c r="AM18" s="106"/>
    </row>
    <row r="19" spans="1:39" x14ac:dyDescent="0.3">
      <c r="A19" s="143"/>
      <c r="B19" s="143"/>
      <c r="C19" s="104" t="s">
        <v>298</v>
      </c>
      <c r="D19" s="82">
        <f>D18</f>
        <v>7.7949999999999999</v>
      </c>
      <c r="E19" s="82">
        <v>7.6109999999999998</v>
      </c>
      <c r="F19" s="133">
        <v>40</v>
      </c>
      <c r="G19" s="135">
        <f t="shared" si="4"/>
        <v>4.6000000000000043E-3</v>
      </c>
      <c r="H19" s="136">
        <f t="shared" si="0"/>
        <v>1.6113874989606238</v>
      </c>
      <c r="I19" s="137">
        <v>10</v>
      </c>
      <c r="J19" s="121">
        <f t="shared" si="5"/>
        <v>11.611387498960624</v>
      </c>
      <c r="K19" s="137">
        <f t="shared" si="1"/>
        <v>126.77246414136752</v>
      </c>
      <c r="L19" s="138">
        <v>0.9</v>
      </c>
      <c r="M19" s="133">
        <v>7785.4639999999999</v>
      </c>
      <c r="N19" s="123">
        <f t="shared" si="6"/>
        <v>7.7854639999999998E-3</v>
      </c>
      <c r="O19" s="139">
        <f t="shared" si="7"/>
        <v>0.24694301043212974</v>
      </c>
      <c r="P19" s="138">
        <v>0</v>
      </c>
      <c r="Q19" s="139">
        <f t="shared" si="10"/>
        <v>0.24694301043212974</v>
      </c>
      <c r="R19" s="137">
        <f t="shared" si="3"/>
        <v>0.23135366889022838</v>
      </c>
      <c r="S19" s="134" t="str">
        <f t="shared" si="8"/>
        <v>Usar boca de lobo</v>
      </c>
      <c r="T19" s="140">
        <f>Sarjetas!J17</f>
        <v>0.41372212897064153</v>
      </c>
      <c r="U19" s="140" t="str">
        <f t="shared" si="9"/>
        <v>Ok</v>
      </c>
      <c r="Y19" s="106"/>
      <c r="Z19" s="106"/>
      <c r="AA19" s="118"/>
      <c r="AB19" s="118"/>
      <c r="AC19" s="118"/>
      <c r="AD19" s="118"/>
      <c r="AE19" s="118"/>
      <c r="AF19" s="106"/>
      <c r="AG19" s="108"/>
      <c r="AH19" s="108"/>
      <c r="AI19" s="108"/>
      <c r="AJ19" s="109"/>
      <c r="AK19" s="109"/>
      <c r="AL19" s="109"/>
      <c r="AM19" s="106"/>
    </row>
    <row r="20" spans="1:39" ht="15" customHeight="1" x14ac:dyDescent="0.3">
      <c r="A20" s="142" t="s">
        <v>286</v>
      </c>
      <c r="B20" s="142" t="s">
        <v>174</v>
      </c>
      <c r="C20" s="104" t="s">
        <v>297</v>
      </c>
      <c r="D20" s="82">
        <v>9.9429999999999996</v>
      </c>
      <c r="E20" s="82">
        <v>9.9179999999999993</v>
      </c>
      <c r="F20" s="133">
        <v>5.63</v>
      </c>
      <c r="G20" s="135">
        <f t="shared" si="4"/>
        <v>4.4404973357016616E-3</v>
      </c>
      <c r="H20" s="136">
        <f t="shared" si="0"/>
        <v>0.23084023223031949</v>
      </c>
      <c r="I20" s="137">
        <f>J18</f>
        <v>14.172864996691519</v>
      </c>
      <c r="J20" s="121">
        <f t="shared" si="5"/>
        <v>14.403705228921838</v>
      </c>
      <c r="K20" s="137">
        <f t="shared" si="1"/>
        <v>119.1868299847818</v>
      </c>
      <c r="L20" s="138">
        <v>0.9</v>
      </c>
      <c r="M20" s="133">
        <v>1227.443</v>
      </c>
      <c r="N20" s="123">
        <f t="shared" si="6"/>
        <v>1.2274429999999999E-3</v>
      </c>
      <c r="O20" s="139">
        <f t="shared" si="7"/>
        <v>3.6603019047284038E-2</v>
      </c>
      <c r="P20" s="139">
        <f>Q18+Q19</f>
        <v>2.7540844793658601</v>
      </c>
      <c r="Q20" s="139">
        <f t="shared" si="10"/>
        <v>2.7906874984131442</v>
      </c>
      <c r="R20" s="137">
        <f t="shared" si="3"/>
        <v>0.22730724702892138</v>
      </c>
      <c r="S20" s="134" t="str">
        <f t="shared" si="8"/>
        <v>Usar boca de lobo</v>
      </c>
      <c r="T20" s="140">
        <f>Sarjetas!J18</f>
        <v>0.40648604633057062</v>
      </c>
      <c r="U20" s="140" t="str">
        <f t="shared" si="9"/>
        <v>Ok</v>
      </c>
      <c r="Y20" s="106"/>
      <c r="Z20" s="106"/>
      <c r="AA20" s="118"/>
      <c r="AB20" s="118"/>
      <c r="AC20" s="118"/>
      <c r="AD20" s="118"/>
      <c r="AE20" s="118"/>
      <c r="AF20" s="106"/>
      <c r="AG20" s="108"/>
      <c r="AH20" s="108"/>
      <c r="AI20" s="108"/>
      <c r="AJ20" s="109"/>
      <c r="AK20" s="109"/>
      <c r="AL20" s="109"/>
      <c r="AM20" s="106"/>
    </row>
    <row r="21" spans="1:39" x14ac:dyDescent="0.3">
      <c r="A21" s="144"/>
      <c r="B21" s="144"/>
      <c r="C21" s="104" t="s">
        <v>298</v>
      </c>
      <c r="D21" s="82">
        <v>10</v>
      </c>
      <c r="E21" s="82">
        <v>9.9179999999999993</v>
      </c>
      <c r="F21" s="133">
        <v>71.959999999999994</v>
      </c>
      <c r="G21" s="135">
        <f t="shared" si="4"/>
        <v>1.1395219566425895E-3</v>
      </c>
      <c r="H21" s="136">
        <f t="shared" si="0"/>
        <v>2.9504907835335326</v>
      </c>
      <c r="I21" s="137">
        <v>10</v>
      </c>
      <c r="J21" s="121">
        <f t="shared" si="5"/>
        <v>12.950490783533532</v>
      </c>
      <c r="K21" s="137">
        <f t="shared" si="1"/>
        <v>123.01463863285167</v>
      </c>
      <c r="L21" s="138">
        <v>0.9</v>
      </c>
      <c r="M21" s="133">
        <f>96280.3969/5</f>
        <v>19256.079380000003</v>
      </c>
      <c r="N21" s="123">
        <f t="shared" si="6"/>
        <v>1.9256079380000003E-2</v>
      </c>
      <c r="O21" s="139">
        <f t="shared" si="7"/>
        <v>0.59266866753333503</v>
      </c>
      <c r="P21" s="138">
        <v>0</v>
      </c>
      <c r="Q21" s="139">
        <f t="shared" si="10"/>
        <v>0.59266866753333503</v>
      </c>
      <c r="R21" s="137">
        <f t="shared" si="3"/>
        <v>0.11514864295574508</v>
      </c>
      <c r="S21" s="134" t="str">
        <f t="shared" si="8"/>
        <v>Usar boca de lobo</v>
      </c>
      <c r="T21" s="140">
        <f>Sarjetas!J20</f>
        <v>0.40648604633057062</v>
      </c>
      <c r="U21" s="140" t="str">
        <f t="shared" si="9"/>
        <v>Ok</v>
      </c>
      <c r="Y21" s="106"/>
      <c r="Z21" s="106"/>
      <c r="AA21" s="106"/>
      <c r="AB21" s="106"/>
      <c r="AC21" s="106"/>
      <c r="AD21" s="106"/>
      <c r="AE21" s="106"/>
      <c r="AF21" s="109"/>
      <c r="AG21" s="109"/>
      <c r="AH21" s="109"/>
      <c r="AI21" s="106"/>
      <c r="AJ21" s="106"/>
      <c r="AK21" s="106"/>
      <c r="AL21" s="106"/>
      <c r="AM21" s="106"/>
    </row>
    <row r="22" spans="1:39" x14ac:dyDescent="0.3">
      <c r="A22" s="143"/>
      <c r="B22" s="143"/>
      <c r="C22" s="104" t="s">
        <v>299</v>
      </c>
      <c r="D22" s="82">
        <f>D20</f>
        <v>9.9429999999999996</v>
      </c>
      <c r="E22" s="82">
        <f>E20</f>
        <v>9.9179999999999993</v>
      </c>
      <c r="F22" s="133">
        <v>5.63</v>
      </c>
      <c r="G22" s="135">
        <f t="shared" ref="G22" si="11">(D22-E22)/F22</f>
        <v>4.4404973357016616E-3</v>
      </c>
      <c r="H22" s="136">
        <f t="shared" ref="H22" si="12">F22/T22/60</f>
        <v>6.8349852959222385E-2</v>
      </c>
      <c r="I22" s="137">
        <v>11</v>
      </c>
      <c r="J22" s="121">
        <f t="shared" si="5"/>
        <v>11.068349852959223</v>
      </c>
      <c r="K22" s="137">
        <f t="shared" si="1"/>
        <v>128.36441000278154</v>
      </c>
      <c r="L22" s="138">
        <v>1.9</v>
      </c>
      <c r="M22" s="133">
        <v>6802.2866000000004</v>
      </c>
      <c r="N22" s="123">
        <f t="shared" si="6"/>
        <v>6.8022866000000005E-3</v>
      </c>
      <c r="O22" s="139">
        <f t="shared" ref="O22" si="13">0.278*L22*K22*N22</f>
        <v>0.46120918951083639</v>
      </c>
      <c r="P22" s="138">
        <v>1</v>
      </c>
      <c r="Q22" s="139">
        <f t="shared" ref="Q22" si="14">P22+O22</f>
        <v>1.4612091895108363</v>
      </c>
      <c r="R22" s="137">
        <f t="shared" si="3"/>
        <v>0.22730724702892138</v>
      </c>
      <c r="S22" s="134" t="str">
        <f t="shared" ref="S22" si="15">IF(Q22&lt;R22,"Ok","Usar boca de lobo")</f>
        <v>Usar boca de lobo</v>
      </c>
      <c r="T22" s="140">
        <f>Sarjetas!J21</f>
        <v>1.3728388470610817</v>
      </c>
      <c r="U22" s="140" t="str">
        <f t="shared" ref="U22" si="16">IF(T22&lt;3,"Ok","Usar boca de lobo")</f>
        <v>Ok</v>
      </c>
      <c r="Y22" s="106"/>
      <c r="Z22" s="106"/>
      <c r="AA22" s="106"/>
      <c r="AB22" s="106"/>
      <c r="AC22" s="106"/>
      <c r="AD22" s="106"/>
      <c r="AE22" s="106"/>
      <c r="AF22" s="109"/>
      <c r="AG22" s="109"/>
      <c r="AH22" s="109"/>
      <c r="AI22" s="106"/>
      <c r="AJ22" s="106"/>
      <c r="AK22" s="106"/>
      <c r="AL22" s="106"/>
      <c r="AM22" s="106"/>
    </row>
    <row r="23" spans="1:39" x14ac:dyDescent="0.3">
      <c r="A23" s="142" t="s">
        <v>287</v>
      </c>
      <c r="B23" s="142" t="s">
        <v>179</v>
      </c>
      <c r="C23" s="104" t="s">
        <v>297</v>
      </c>
      <c r="D23" s="82">
        <v>8.5180000000000007</v>
      </c>
      <c r="E23" s="82">
        <v>3.4529999999999998</v>
      </c>
      <c r="F23" s="133">
        <v>100</v>
      </c>
      <c r="G23" s="135">
        <f t="shared" si="4"/>
        <v>5.0650000000000014E-2</v>
      </c>
      <c r="H23" s="136">
        <f t="shared" si="0"/>
        <v>1.2140293598440921</v>
      </c>
      <c r="I23" s="137">
        <f>J21</f>
        <v>12.950490783533532</v>
      </c>
      <c r="J23" s="121">
        <f t="shared" si="5"/>
        <v>14.164520143377624</v>
      </c>
      <c r="K23" s="137">
        <f t="shared" si="1"/>
        <v>119.79996166986139</v>
      </c>
      <c r="L23" s="138">
        <v>0.9</v>
      </c>
      <c r="M23" s="133">
        <v>3315.52</v>
      </c>
      <c r="N23" s="123">
        <f t="shared" si="6"/>
        <v>3.3155200000000002E-3</v>
      </c>
      <c r="O23" s="139">
        <f t="shared" si="7"/>
        <v>9.9379232062697859E-2</v>
      </c>
      <c r="P23" s="139">
        <f>Q21</f>
        <v>0.59266866753333503</v>
      </c>
      <c r="Q23" s="139">
        <f t="shared" si="10"/>
        <v>0.69204789959603286</v>
      </c>
      <c r="R23" s="137">
        <f t="shared" si="3"/>
        <v>0.76769232734261283</v>
      </c>
      <c r="S23" s="134" t="str">
        <f t="shared" si="8"/>
        <v>Ok</v>
      </c>
      <c r="T23" s="140">
        <f>Sarjetas!J21</f>
        <v>1.3728388470610817</v>
      </c>
      <c r="U23" s="140" t="str">
        <f t="shared" si="9"/>
        <v>Ok</v>
      </c>
      <c r="Y23" s="106"/>
      <c r="Z23" s="106"/>
      <c r="AA23" s="106"/>
      <c r="AB23" s="106"/>
      <c r="AC23" s="106"/>
      <c r="AD23" s="106"/>
      <c r="AE23" s="106"/>
      <c r="AF23" s="106"/>
      <c r="AG23" s="106"/>
      <c r="AH23" s="106"/>
      <c r="AI23" s="106"/>
      <c r="AJ23" s="106"/>
      <c r="AK23" s="106"/>
      <c r="AL23" s="106"/>
      <c r="AM23" s="106"/>
    </row>
    <row r="24" spans="1:39" x14ac:dyDescent="0.3">
      <c r="A24" s="143"/>
      <c r="B24" s="143"/>
      <c r="C24" s="104" t="s">
        <v>298</v>
      </c>
      <c r="D24" s="82">
        <v>8.5180000000000007</v>
      </c>
      <c r="E24" s="82">
        <v>3.4529999999999998</v>
      </c>
      <c r="F24" s="133">
        <v>100</v>
      </c>
      <c r="G24" s="135">
        <f t="shared" si="4"/>
        <v>5.0650000000000014E-2</v>
      </c>
      <c r="H24" s="136">
        <f t="shared" si="0"/>
        <v>1.2140293598440921</v>
      </c>
      <c r="I24" s="137">
        <v>10</v>
      </c>
      <c r="J24" s="121">
        <f t="shared" si="5"/>
        <v>11.214029359844092</v>
      </c>
      <c r="K24" s="137">
        <f t="shared" si="1"/>
        <v>127.93332784867388</v>
      </c>
      <c r="L24" s="138">
        <v>0.9</v>
      </c>
      <c r="M24" s="133">
        <v>14524.49</v>
      </c>
      <c r="N24" s="123">
        <f t="shared" si="6"/>
        <v>1.4524489999999999E-2</v>
      </c>
      <c r="O24" s="139">
        <f t="shared" si="7"/>
        <v>0.46491321851939732</v>
      </c>
      <c r="P24" s="138">
        <v>0</v>
      </c>
      <c r="Q24" s="139">
        <f t="shared" si="10"/>
        <v>0.46491321851939732</v>
      </c>
      <c r="R24" s="137">
        <f t="shared" si="3"/>
        <v>0.76769232734261283</v>
      </c>
      <c r="S24" s="134" t="str">
        <f t="shared" si="8"/>
        <v>Ok</v>
      </c>
      <c r="T24" s="140">
        <f>Sarjetas!J22</f>
        <v>1.3728388470610817</v>
      </c>
      <c r="U24" s="140" t="str">
        <f t="shared" si="9"/>
        <v>Ok</v>
      </c>
      <c r="V24" s="19" t="e">
        <f>(#REF!-#REF!)</f>
        <v>#REF!</v>
      </c>
      <c r="Y24" s="106"/>
      <c r="Z24" s="106"/>
      <c r="AA24" s="106"/>
      <c r="AB24" s="106"/>
      <c r="AC24" s="106"/>
      <c r="AD24" s="106"/>
      <c r="AE24" s="106"/>
      <c r="AF24" s="106"/>
      <c r="AG24" s="106"/>
      <c r="AH24" s="106"/>
      <c r="AI24" s="106"/>
      <c r="AJ24" s="106"/>
      <c r="AK24" s="106"/>
      <c r="AL24" s="106"/>
      <c r="AM24" s="106"/>
    </row>
    <row r="25" spans="1:39" x14ac:dyDescent="0.3">
      <c r="A25" s="142" t="s">
        <v>288</v>
      </c>
      <c r="B25" s="142" t="s">
        <v>180</v>
      </c>
      <c r="C25" s="104" t="s">
        <v>297</v>
      </c>
      <c r="D25" s="82">
        <v>3.4529999999999998</v>
      </c>
      <c r="E25" s="82">
        <v>2.9769999999999999</v>
      </c>
      <c r="F25" s="133">
        <f>410.91-389.5</f>
        <v>21.410000000000025</v>
      </c>
      <c r="G25" s="135">
        <f t="shared" si="4"/>
        <v>2.2232601588042945E-2</v>
      </c>
      <c r="H25" s="136">
        <f t="shared" si="0"/>
        <v>0.39231999158502101</v>
      </c>
      <c r="I25" s="137">
        <f>J24</f>
        <v>11.214029359844092</v>
      </c>
      <c r="J25" s="121">
        <f t="shared" si="5"/>
        <v>11.606349351429113</v>
      </c>
      <c r="K25" s="137">
        <f t="shared" si="1"/>
        <v>126.78704753142964</v>
      </c>
      <c r="L25" s="138">
        <v>0.9</v>
      </c>
      <c r="M25" s="133">
        <v>1447.5226</v>
      </c>
      <c r="N25" s="123">
        <f t="shared" si="6"/>
        <v>1.4475226000000001E-3</v>
      </c>
      <c r="O25" s="139">
        <f t="shared" si="7"/>
        <v>4.5918484595592467E-2</v>
      </c>
      <c r="P25" s="139">
        <f>Q24</f>
        <v>0.46491321851939732</v>
      </c>
      <c r="Q25" s="139">
        <f t="shared" si="10"/>
        <v>0.51083170311498982</v>
      </c>
      <c r="R25" s="137">
        <f t="shared" si="3"/>
        <v>0.50861904484293241</v>
      </c>
      <c r="S25" s="134" t="str">
        <f t="shared" si="8"/>
        <v>Usar boca de lobo</v>
      </c>
      <c r="T25" s="140">
        <f>Sarjetas!J23</f>
        <v>0.90954664811161723</v>
      </c>
      <c r="U25" s="140" t="str">
        <f t="shared" si="9"/>
        <v>Ok</v>
      </c>
      <c r="V25" s="129"/>
      <c r="X25" s="19" t="e">
        <f>(#REF!-#REF!)</f>
        <v>#REF!</v>
      </c>
      <c r="Z25" s="106"/>
      <c r="AA25" s="106"/>
      <c r="AB25" s="106"/>
      <c r="AC25" s="106"/>
      <c r="AD25" s="106"/>
      <c r="AE25" s="106"/>
      <c r="AF25" s="106"/>
      <c r="AG25" s="106"/>
      <c r="AH25" s="106"/>
      <c r="AI25" s="106"/>
      <c r="AJ25" s="106"/>
      <c r="AK25" s="106"/>
      <c r="AL25" s="106"/>
      <c r="AM25" s="106"/>
    </row>
    <row r="26" spans="1:39" x14ac:dyDescent="0.3">
      <c r="A26" s="143"/>
      <c r="B26" s="143"/>
      <c r="C26" s="104" t="s">
        <v>298</v>
      </c>
      <c r="D26" s="82">
        <v>3.4529999999999998</v>
      </c>
      <c r="E26" s="82">
        <v>2.9769999999999999</v>
      </c>
      <c r="F26" s="133">
        <f>F25</f>
        <v>21.410000000000025</v>
      </c>
      <c r="G26" s="135">
        <f t="shared" si="4"/>
        <v>2.2232601588042945E-2</v>
      </c>
      <c r="H26" s="136">
        <f t="shared" si="0"/>
        <v>0.39231999158502101</v>
      </c>
      <c r="I26" s="137">
        <f>J25</f>
        <v>11.606349351429113</v>
      </c>
      <c r="J26" s="121">
        <f t="shared" si="5"/>
        <v>11.998669343014134</v>
      </c>
      <c r="K26" s="137">
        <f t="shared" si="1"/>
        <v>125.66165210737465</v>
      </c>
      <c r="L26" s="138">
        <v>0.9</v>
      </c>
      <c r="M26" s="133">
        <v>2294.44</v>
      </c>
      <c r="N26" s="123">
        <f t="shared" si="6"/>
        <v>2.29444E-3</v>
      </c>
      <c r="O26" s="139">
        <f t="shared" si="7"/>
        <v>7.2138444889523423E-2</v>
      </c>
      <c r="P26" s="139">
        <f>Q25+Q24</f>
        <v>0.9757449216343872</v>
      </c>
      <c r="Q26" s="139">
        <f t="shared" si="10"/>
        <v>1.0478833665239107</v>
      </c>
      <c r="R26" s="137">
        <f t="shared" si="3"/>
        <v>0.50861904484293241</v>
      </c>
      <c r="S26" s="134" t="str">
        <f t="shared" si="8"/>
        <v>Usar boca de lobo</v>
      </c>
      <c r="T26" s="140">
        <f>Sarjetas!J24</f>
        <v>0.90954664811161723</v>
      </c>
      <c r="U26" s="140" t="str">
        <f t="shared" si="9"/>
        <v>Ok</v>
      </c>
      <c r="V26" s="129"/>
    </row>
    <row r="27" spans="1:39" x14ac:dyDescent="0.3">
      <c r="A27" s="142" t="s">
        <v>289</v>
      </c>
      <c r="B27" s="142" t="s">
        <v>181</v>
      </c>
      <c r="C27" s="104" t="s">
        <v>297</v>
      </c>
      <c r="D27" s="82">
        <f>E26</f>
        <v>2.9769999999999999</v>
      </c>
      <c r="E27" s="82">
        <v>1.744</v>
      </c>
      <c r="F27" s="133">
        <v>56.41</v>
      </c>
      <c r="G27" s="135">
        <f t="shared" si="4"/>
        <v>2.1857826626484667E-2</v>
      </c>
      <c r="H27" s="136">
        <f t="shared" si="0"/>
        <v>1.0424891074378364</v>
      </c>
      <c r="I27" s="137">
        <v>10</v>
      </c>
      <c r="J27" s="121">
        <f t="shared" si="5"/>
        <v>11.042489107437836</v>
      </c>
      <c r="K27" s="137">
        <f t="shared" si="1"/>
        <v>128.44124670972644</v>
      </c>
      <c r="L27" s="138">
        <v>0.9</v>
      </c>
      <c r="M27" s="133">
        <v>4556.634</v>
      </c>
      <c r="N27" s="123">
        <f t="shared" si="6"/>
        <v>4.5566340000000004E-3</v>
      </c>
      <c r="O27" s="139">
        <f t="shared" si="7"/>
        <v>0.1464319898903339</v>
      </c>
      <c r="P27" s="138">
        <v>0</v>
      </c>
      <c r="Q27" s="139">
        <f t="shared" si="10"/>
        <v>0.1464319898903339</v>
      </c>
      <c r="R27" s="137">
        <f t="shared" si="3"/>
        <v>0.50431392931983332</v>
      </c>
      <c r="S27" s="134" t="str">
        <f t="shared" si="8"/>
        <v>Ok</v>
      </c>
      <c r="T27" s="140">
        <f>Sarjetas!J25</f>
        <v>0.90184795213577684</v>
      </c>
      <c r="U27" s="140" t="str">
        <f t="shared" si="9"/>
        <v>Ok</v>
      </c>
      <c r="V27" s="129"/>
      <c r="X27" s="19">
        <f>Q32-R32</f>
        <v>0.92652497181930316</v>
      </c>
    </row>
    <row r="28" spans="1:39" s="84" customFormat="1" x14ac:dyDescent="0.3">
      <c r="A28" s="143"/>
      <c r="B28" s="143"/>
      <c r="C28" s="104" t="s">
        <v>298</v>
      </c>
      <c r="D28" s="82">
        <f>D27</f>
        <v>2.9769999999999999</v>
      </c>
      <c r="E28" s="82">
        <v>1.744</v>
      </c>
      <c r="F28" s="133">
        <f>F27</f>
        <v>56.41</v>
      </c>
      <c r="G28" s="135">
        <f t="shared" si="4"/>
        <v>2.1857826626484667E-2</v>
      </c>
      <c r="H28" s="136">
        <f t="shared" si="0"/>
        <v>1.0424891074378364</v>
      </c>
      <c r="I28" s="137">
        <f>J27</f>
        <v>11.042489107437836</v>
      </c>
      <c r="J28" s="121">
        <f t="shared" si="5"/>
        <v>12.084978214875672</v>
      </c>
      <c r="K28" s="137">
        <f t="shared" si="1"/>
        <v>125.41681514326643</v>
      </c>
      <c r="L28" s="137">
        <v>0.9</v>
      </c>
      <c r="M28" s="133">
        <v>4295.9670999999998</v>
      </c>
      <c r="N28" s="123">
        <f t="shared" si="6"/>
        <v>4.2959671E-3</v>
      </c>
      <c r="O28" s="139">
        <f t="shared" si="7"/>
        <v>0.13480438521289206</v>
      </c>
      <c r="P28" s="138">
        <f>Q27</f>
        <v>0.1464319898903339</v>
      </c>
      <c r="Q28" s="139">
        <f t="shared" si="10"/>
        <v>0.28123637510322597</v>
      </c>
      <c r="R28" s="137">
        <f t="shared" si="3"/>
        <v>0.50431392931983332</v>
      </c>
      <c r="S28" s="134" t="str">
        <f t="shared" si="8"/>
        <v>Ok</v>
      </c>
      <c r="T28" s="140">
        <f>Sarjetas!J26</f>
        <v>0.90184795213577684</v>
      </c>
      <c r="U28" s="140" t="str">
        <f t="shared" si="9"/>
        <v>Ok</v>
      </c>
      <c r="V28" s="129"/>
      <c r="X28" s="130">
        <f>Q33-R33</f>
        <v>1.329568186578818</v>
      </c>
      <c r="Y28" s="130" t="e">
        <f>X29+X25</f>
        <v>#REF!</v>
      </c>
    </row>
    <row r="29" spans="1:39" x14ac:dyDescent="0.3">
      <c r="A29" s="142" t="s">
        <v>290</v>
      </c>
      <c r="B29" s="142" t="s">
        <v>182</v>
      </c>
      <c r="C29" s="104" t="s">
        <v>297</v>
      </c>
      <c r="D29" s="82">
        <f>E28</f>
        <v>1.744</v>
      </c>
      <c r="E29" s="82">
        <v>1.3859999999999999</v>
      </c>
      <c r="F29" s="133">
        <f>498-467</f>
        <v>31</v>
      </c>
      <c r="G29" s="135">
        <f t="shared" si="4"/>
        <v>1.1548387096774197E-2</v>
      </c>
      <c r="H29" s="136">
        <f t="shared" si="0"/>
        <v>0.7881700756394121</v>
      </c>
      <c r="I29" s="137">
        <f t="shared" ref="I29:I40" si="17">J28</f>
        <v>12.084978214875672</v>
      </c>
      <c r="J29" s="121">
        <f t="shared" si="5"/>
        <v>12.873148290515084</v>
      </c>
      <c r="K29" s="137">
        <f t="shared" si="1"/>
        <v>123.22544980186446</v>
      </c>
      <c r="L29" s="138">
        <v>0.9</v>
      </c>
      <c r="M29" s="133">
        <v>18905.494900000002</v>
      </c>
      <c r="N29" s="123">
        <f t="shared" si="6"/>
        <v>1.89054949E-2</v>
      </c>
      <c r="O29" s="139">
        <f t="shared" si="7"/>
        <v>0.58287545581739453</v>
      </c>
      <c r="P29" s="138">
        <f t="shared" ref="P29:P40" si="18">Q28</f>
        <v>0.28123637510322597</v>
      </c>
      <c r="Q29" s="139">
        <f t="shared" si="10"/>
        <v>0.86411183092062049</v>
      </c>
      <c r="R29" s="137">
        <f t="shared" si="3"/>
        <v>0.36657103154939213</v>
      </c>
      <c r="S29" s="134" t="str">
        <f t="shared" si="8"/>
        <v>Usar boca de lobo</v>
      </c>
      <c r="T29" s="140">
        <f>Sarjetas!J27</f>
        <v>0.65552687501807883</v>
      </c>
      <c r="U29" s="140" t="str">
        <f t="shared" si="9"/>
        <v>Ok</v>
      </c>
      <c r="V29" s="129"/>
      <c r="X29" s="19">
        <f>SUM(X27:X28)</f>
        <v>2.2560931583981212</v>
      </c>
    </row>
    <row r="30" spans="1:39" s="84" customFormat="1" x14ac:dyDescent="0.3">
      <c r="A30" s="143"/>
      <c r="B30" s="143"/>
      <c r="C30" s="104" t="s">
        <v>298</v>
      </c>
      <c r="D30" s="82">
        <f>E28</f>
        <v>1.744</v>
      </c>
      <c r="E30" s="82">
        <f>E29</f>
        <v>1.3859999999999999</v>
      </c>
      <c r="F30" s="133">
        <f>F29</f>
        <v>31</v>
      </c>
      <c r="G30" s="135">
        <f t="shared" si="4"/>
        <v>1.1548387096774197E-2</v>
      </c>
      <c r="H30" s="136">
        <f t="shared" si="0"/>
        <v>0.7881700756394121</v>
      </c>
      <c r="I30" s="137">
        <f t="shared" si="17"/>
        <v>12.873148290515084</v>
      </c>
      <c r="J30" s="121">
        <f t="shared" si="5"/>
        <v>13.661318366154497</v>
      </c>
      <c r="K30" s="137">
        <f t="shared" si="1"/>
        <v>121.11125833588019</v>
      </c>
      <c r="L30" s="137">
        <v>0.9</v>
      </c>
      <c r="M30" s="133">
        <v>12004.857599999999</v>
      </c>
      <c r="N30" s="123">
        <f t="shared" si="6"/>
        <v>1.20048576E-2</v>
      </c>
      <c r="O30" s="139">
        <f t="shared" si="7"/>
        <v>0.36377163720177952</v>
      </c>
      <c r="P30" s="138">
        <f t="shared" si="18"/>
        <v>0.86411183092062049</v>
      </c>
      <c r="Q30" s="139">
        <f t="shared" si="10"/>
        <v>1.2278834681224</v>
      </c>
      <c r="R30" s="137">
        <f t="shared" si="3"/>
        <v>0.36657103154939213</v>
      </c>
      <c r="S30" s="134" t="str">
        <f t="shared" si="8"/>
        <v>Usar boca de lobo</v>
      </c>
      <c r="T30" s="140">
        <f>Sarjetas!J28</f>
        <v>0.65552687501807883</v>
      </c>
      <c r="U30" s="140" t="str">
        <f t="shared" si="9"/>
        <v>Ok</v>
      </c>
      <c r="V30" s="129"/>
    </row>
    <row r="31" spans="1:39" x14ac:dyDescent="0.3">
      <c r="A31" s="142" t="s">
        <v>291</v>
      </c>
      <c r="B31" s="142" t="s">
        <v>183</v>
      </c>
      <c r="C31" s="104" t="s">
        <v>297</v>
      </c>
      <c r="D31" s="82">
        <v>5.8979999999999997</v>
      </c>
      <c r="E31" s="82">
        <v>2.008</v>
      </c>
      <c r="F31" s="133">
        <f>696-579</f>
        <v>117</v>
      </c>
      <c r="G31" s="135">
        <f t="shared" si="4"/>
        <v>3.3247863247863246E-2</v>
      </c>
      <c r="H31" s="136">
        <f t="shared" si="0"/>
        <v>1.7531654630322726</v>
      </c>
      <c r="I31" s="137">
        <f t="shared" si="17"/>
        <v>13.661318366154497</v>
      </c>
      <c r="J31" s="121">
        <f t="shared" si="5"/>
        <v>15.41448382918677</v>
      </c>
      <c r="K31" s="137">
        <f t="shared" si="1"/>
        <v>116.66534134445473</v>
      </c>
      <c r="L31" s="138">
        <v>0.9</v>
      </c>
      <c r="M31" s="133">
        <f>2434.25265*2</f>
        <v>4868.5052999999998</v>
      </c>
      <c r="N31" s="123">
        <f t="shared" si="6"/>
        <v>4.8685053000000001E-3</v>
      </c>
      <c r="O31" s="139">
        <f t="shared" si="7"/>
        <v>0.14211005533197912</v>
      </c>
      <c r="P31" s="138">
        <f t="shared" si="18"/>
        <v>1.2278834681224</v>
      </c>
      <c r="Q31" s="139">
        <f t="shared" si="10"/>
        <v>1.3699935234543792</v>
      </c>
      <c r="R31" s="137">
        <f t="shared" si="3"/>
        <v>0.62198418912354869</v>
      </c>
      <c r="S31" s="134" t="str">
        <f t="shared" si="8"/>
        <v>Usar boca de lobo</v>
      </c>
      <c r="T31" s="140">
        <f>Sarjetas!J29</f>
        <v>1.1122737933858693</v>
      </c>
      <c r="U31" s="140" t="str">
        <f t="shared" si="9"/>
        <v>Ok</v>
      </c>
      <c r="V31" s="129"/>
    </row>
    <row r="32" spans="1:39" s="84" customFormat="1" x14ac:dyDescent="0.3">
      <c r="A32" s="143"/>
      <c r="B32" s="143"/>
      <c r="C32" s="104" t="s">
        <v>298</v>
      </c>
      <c r="D32" s="82">
        <f>D31</f>
        <v>5.8979999999999997</v>
      </c>
      <c r="E32" s="82">
        <f>E31</f>
        <v>2.008</v>
      </c>
      <c r="F32" s="133">
        <f>F31</f>
        <v>117</v>
      </c>
      <c r="G32" s="135">
        <f t="shared" si="4"/>
        <v>3.3247863247863246E-2</v>
      </c>
      <c r="H32" s="136">
        <f t="shared" si="0"/>
        <v>1.7531654630322726</v>
      </c>
      <c r="I32" s="137">
        <f t="shared" si="17"/>
        <v>15.41448382918677</v>
      </c>
      <c r="J32" s="121">
        <f t="shared" si="5"/>
        <v>17.167649292219043</v>
      </c>
      <c r="K32" s="137">
        <f t="shared" si="1"/>
        <v>112.54196618507059</v>
      </c>
      <c r="L32" s="137">
        <v>0.9</v>
      </c>
      <c r="M32" s="133">
        <f>3169.892*2</f>
        <v>6339.7839999999997</v>
      </c>
      <c r="N32" s="123">
        <f t="shared" si="6"/>
        <v>6.3397839999999994E-3</v>
      </c>
      <c r="O32" s="139">
        <f t="shared" si="7"/>
        <v>0.17851563748847263</v>
      </c>
      <c r="P32" s="138">
        <f t="shared" si="18"/>
        <v>1.3699935234543792</v>
      </c>
      <c r="Q32" s="139">
        <f t="shared" si="10"/>
        <v>1.5485091609428518</v>
      </c>
      <c r="R32" s="137">
        <f t="shared" si="3"/>
        <v>0.62198418912354869</v>
      </c>
      <c r="S32" s="134" t="str">
        <f t="shared" si="8"/>
        <v>Usar boca de lobo</v>
      </c>
      <c r="T32" s="140">
        <f>Sarjetas!J30</f>
        <v>1.1122737933858693</v>
      </c>
      <c r="U32" s="140" t="str">
        <f t="shared" si="9"/>
        <v>Ok</v>
      </c>
      <c r="V32" s="129">
        <f t="shared" ref="V32:V33" si="19">(Q32-R32)/0.05</f>
        <v>18.530499436386062</v>
      </c>
    </row>
    <row r="33" spans="1:22" s="84" customFormat="1" x14ac:dyDescent="0.3">
      <c r="A33" s="142" t="s">
        <v>292</v>
      </c>
      <c r="B33" s="142" t="s">
        <v>184</v>
      </c>
      <c r="C33" s="104" t="s">
        <v>297</v>
      </c>
      <c r="D33" s="82">
        <v>3.778</v>
      </c>
      <c r="E33" s="82">
        <v>2.85</v>
      </c>
      <c r="F33" s="133">
        <f>919.715-820</f>
        <v>99.715000000000032</v>
      </c>
      <c r="G33" s="135">
        <f t="shared" si="4"/>
        <v>9.3065235922378739E-3</v>
      </c>
      <c r="H33" s="136">
        <f t="shared" si="0"/>
        <v>2.8241363899927268</v>
      </c>
      <c r="I33" s="137">
        <f t="shared" si="17"/>
        <v>17.167649292219043</v>
      </c>
      <c r="J33" s="121">
        <f t="shared" si="5"/>
        <v>19.99178568221177</v>
      </c>
      <c r="K33" s="137">
        <f t="shared" si="1"/>
        <v>106.49342676523365</v>
      </c>
      <c r="L33" s="137">
        <v>0.9</v>
      </c>
      <c r="M33" s="133">
        <f>6200*2/3</f>
        <v>4133.333333333333</v>
      </c>
      <c r="N33" s="123">
        <f t="shared" si="6"/>
        <v>4.1333333333333326E-3</v>
      </c>
      <c r="O33" s="139">
        <f t="shared" si="7"/>
        <v>0.11013124222353401</v>
      </c>
      <c r="P33" s="138">
        <f t="shared" si="18"/>
        <v>1.5485091609428518</v>
      </c>
      <c r="Q33" s="139">
        <f t="shared" si="10"/>
        <v>1.6586404031663859</v>
      </c>
      <c r="R33" s="137">
        <f t="shared" si="3"/>
        <v>0.32907221658756797</v>
      </c>
      <c r="S33" s="134" t="str">
        <f t="shared" si="8"/>
        <v>Usar boca de lobo</v>
      </c>
      <c r="T33" s="140">
        <f>Sarjetas!J31</f>
        <v>0.58846898207736598</v>
      </c>
      <c r="U33" s="140" t="str">
        <f t="shared" si="9"/>
        <v>Ok</v>
      </c>
      <c r="V33" s="129">
        <f t="shared" si="19"/>
        <v>26.591363731576358</v>
      </c>
    </row>
    <row r="34" spans="1:22" x14ac:dyDescent="0.3">
      <c r="A34" s="143"/>
      <c r="B34" s="143"/>
      <c r="C34" s="104" t="s">
        <v>298</v>
      </c>
      <c r="D34" s="82">
        <f>D33</f>
        <v>3.778</v>
      </c>
      <c r="E34" s="82">
        <f>E33</f>
        <v>2.85</v>
      </c>
      <c r="F34" s="133">
        <f>919.715-820</f>
        <v>99.715000000000032</v>
      </c>
      <c r="G34" s="135">
        <f t="shared" si="4"/>
        <v>9.3065235922378739E-3</v>
      </c>
      <c r="H34" s="136">
        <f t="shared" si="0"/>
        <v>2.8241363899927268</v>
      </c>
      <c r="I34" s="137">
        <f t="shared" si="17"/>
        <v>19.99178568221177</v>
      </c>
      <c r="J34" s="121">
        <f t="shared" si="5"/>
        <v>22.815922072204497</v>
      </c>
      <c r="K34" s="137">
        <f t="shared" si="1"/>
        <v>101.07643050758341</v>
      </c>
      <c r="L34" s="138">
        <v>0.9</v>
      </c>
      <c r="M34" s="133">
        <f>M33/2</f>
        <v>2066.6666666666665</v>
      </c>
      <c r="N34" s="123">
        <f t="shared" si="6"/>
        <v>2.0666666666666663E-3</v>
      </c>
      <c r="O34" s="139">
        <f t="shared" si="7"/>
        <v>5.2264600686861229E-2</v>
      </c>
      <c r="P34" s="138">
        <f t="shared" si="18"/>
        <v>1.6586404031663859</v>
      </c>
      <c r="Q34" s="139">
        <f t="shared" si="10"/>
        <v>1.7109050038532472</v>
      </c>
      <c r="R34" s="137">
        <f t="shared" si="3"/>
        <v>0.32907221658756797</v>
      </c>
      <c r="S34" s="134" t="str">
        <f t="shared" si="8"/>
        <v>Usar boca de lobo</v>
      </c>
      <c r="T34" s="140">
        <f>Sarjetas!J32</f>
        <v>0.58846898207736598</v>
      </c>
      <c r="U34" s="140" t="str">
        <f t="shared" si="9"/>
        <v>Ok</v>
      </c>
      <c r="V34" s="129"/>
    </row>
    <row r="35" spans="1:22" x14ac:dyDescent="0.3">
      <c r="A35" s="142" t="s">
        <v>293</v>
      </c>
      <c r="B35" s="142" t="s">
        <v>185</v>
      </c>
      <c r="C35" s="104" t="s">
        <v>297</v>
      </c>
      <c r="D35" s="82">
        <v>3.4329999999999998</v>
      </c>
      <c r="E35" s="82">
        <v>2.8380000000000001</v>
      </c>
      <c r="F35" s="133">
        <f>1587-(20*70+16.645)</f>
        <v>170.35500000000002</v>
      </c>
      <c r="G35" s="135">
        <f t="shared" ref="G35:G40" si="20">(D35-E35)/F35</f>
        <v>3.4927064072084748E-3</v>
      </c>
      <c r="H35" s="136">
        <f t="shared" ref="H35:H40" si="21">F35/T35/60</f>
        <v>7.8757651810141347</v>
      </c>
      <c r="I35" s="137">
        <f t="shared" si="17"/>
        <v>22.815922072204497</v>
      </c>
      <c r="J35" s="121">
        <f t="shared" si="5"/>
        <v>30.691687253218632</v>
      </c>
      <c r="K35" s="137">
        <f t="shared" ref="K35:K40" si="22">($J$3*($J$7^$J$4))/((J35+$J$5)^$J$6)</f>
        <v>88.573492348788633</v>
      </c>
      <c r="L35" s="137">
        <v>0.9</v>
      </c>
      <c r="M35" s="133">
        <f>160376/5</f>
        <v>32075.200000000001</v>
      </c>
      <c r="N35" s="123">
        <f t="shared" si="6"/>
        <v>3.2075199999999998E-2</v>
      </c>
      <c r="O35" s="139">
        <f t="shared" ref="O35:O40" si="23">0.278*L35*K35*N35</f>
        <v>0.71082132294282352</v>
      </c>
      <c r="P35" s="138">
        <f t="shared" si="18"/>
        <v>1.7109050038532472</v>
      </c>
      <c r="Q35" s="139">
        <f t="shared" si="10"/>
        <v>2.4217263267960707</v>
      </c>
      <c r="R35" s="137">
        <f t="shared" ref="R35:R40" si="24">(($V$6*($V$7^(2/3))*(G35^0.5)/$V$8))*2</f>
        <v>0.20159442405556469</v>
      </c>
      <c r="S35" s="134" t="str">
        <f t="shared" ref="S35:S40" si="25">IF(Q35&lt;R35,"Ok","Usar boca de lobo")</f>
        <v>Usar boca de lobo</v>
      </c>
      <c r="T35" s="140">
        <f>Sarjetas!J33</f>
        <v>0.36050465380106722</v>
      </c>
      <c r="U35" s="140" t="str">
        <f t="shared" ref="U35:U40" si="26">IF(T35&lt;3,"Ok","Usar boca de lobo")</f>
        <v>Ok</v>
      </c>
    </row>
    <row r="36" spans="1:22" x14ac:dyDescent="0.3">
      <c r="A36" s="143"/>
      <c r="B36" s="143"/>
      <c r="C36" s="104" t="s">
        <v>298</v>
      </c>
      <c r="D36" s="82">
        <f>D35</f>
        <v>3.4329999999999998</v>
      </c>
      <c r="E36" s="82">
        <f>E35</f>
        <v>2.8380000000000001</v>
      </c>
      <c r="F36" s="133">
        <f>1587-(20*70+16.645)</f>
        <v>170.35500000000002</v>
      </c>
      <c r="G36" s="135">
        <f t="shared" si="20"/>
        <v>3.4927064072084748E-3</v>
      </c>
      <c r="H36" s="136">
        <f t="shared" si="21"/>
        <v>7.8757651810141347</v>
      </c>
      <c r="I36" s="137">
        <f t="shared" si="17"/>
        <v>30.691687253218632</v>
      </c>
      <c r="J36" s="121">
        <f t="shared" si="5"/>
        <v>38.567452434232763</v>
      </c>
      <c r="K36" s="137">
        <f t="shared" si="22"/>
        <v>78.879546701088998</v>
      </c>
      <c r="L36" s="138">
        <v>0.9</v>
      </c>
      <c r="M36" s="133">
        <v>1557.569</v>
      </c>
      <c r="N36" s="123">
        <f t="shared" si="6"/>
        <v>1.557569E-3</v>
      </c>
      <c r="O36" s="139">
        <f t="shared" si="23"/>
        <v>3.0739656236252258E-2</v>
      </c>
      <c r="P36" s="138">
        <f t="shared" si="18"/>
        <v>2.4217263267960707</v>
      </c>
      <c r="Q36" s="139">
        <f t="shared" si="10"/>
        <v>2.4524659830323228</v>
      </c>
      <c r="R36" s="137">
        <f t="shared" si="24"/>
        <v>0.20159442405556469</v>
      </c>
      <c r="S36" s="134" t="str">
        <f t="shared" si="25"/>
        <v>Usar boca de lobo</v>
      </c>
      <c r="T36" s="140">
        <f>Sarjetas!J34</f>
        <v>0.36050465380106722</v>
      </c>
      <c r="U36" s="140" t="str">
        <f t="shared" si="26"/>
        <v>Ok</v>
      </c>
    </row>
    <row r="37" spans="1:22" x14ac:dyDescent="0.3">
      <c r="A37" s="142" t="s">
        <v>294</v>
      </c>
      <c r="B37" s="142" t="s">
        <v>186</v>
      </c>
      <c r="C37" s="104" t="s">
        <v>297</v>
      </c>
      <c r="D37" s="82">
        <v>6.05</v>
      </c>
      <c r="E37" s="82">
        <v>5.8310000000000004</v>
      </c>
      <c r="F37" s="133">
        <f>2160-(20*103+13.857)</f>
        <v>86.143000000000029</v>
      </c>
      <c r="G37" s="135">
        <f t="shared" si="20"/>
        <v>2.5422843411536554E-3</v>
      </c>
      <c r="H37" s="136">
        <f t="shared" si="21"/>
        <v>4.6679569884296255</v>
      </c>
      <c r="I37" s="137">
        <f t="shared" si="17"/>
        <v>38.567452434232763</v>
      </c>
      <c r="J37" s="121">
        <f t="shared" si="5"/>
        <v>43.235409422662386</v>
      </c>
      <c r="K37" s="137">
        <f t="shared" si="22"/>
        <v>74.095436573652506</v>
      </c>
      <c r="L37" s="137">
        <v>0.9</v>
      </c>
      <c r="M37" s="133">
        <f>(234396.9328+82809.088)/10</f>
        <v>31720.602080000001</v>
      </c>
      <c r="N37" s="123">
        <f t="shared" si="6"/>
        <v>3.172060208E-2</v>
      </c>
      <c r="O37" s="139">
        <f t="shared" si="23"/>
        <v>0.58805803524607692</v>
      </c>
      <c r="P37" s="138">
        <f t="shared" si="18"/>
        <v>2.4524659830323228</v>
      </c>
      <c r="Q37" s="139">
        <f t="shared" si="10"/>
        <v>3.0405240182783997</v>
      </c>
      <c r="R37" s="137">
        <f t="shared" si="24"/>
        <v>0.17199251079549494</v>
      </c>
      <c r="S37" s="134" t="str">
        <f t="shared" si="25"/>
        <v>Usar boca de lobo</v>
      </c>
      <c r="T37" s="140">
        <f>Sarjetas!J35</f>
        <v>0.30756852949274172</v>
      </c>
      <c r="U37" s="140" t="str">
        <f t="shared" si="26"/>
        <v>Ok</v>
      </c>
    </row>
    <row r="38" spans="1:22" x14ac:dyDescent="0.3">
      <c r="A38" s="143"/>
      <c r="B38" s="143"/>
      <c r="C38" s="104" t="s">
        <v>298</v>
      </c>
      <c r="D38" s="82">
        <f>D37</f>
        <v>6.05</v>
      </c>
      <c r="E38" s="82">
        <f>E37</f>
        <v>5.8310000000000004</v>
      </c>
      <c r="F38" s="133">
        <f>2160-(20*103+13.857)</f>
        <v>86.143000000000029</v>
      </c>
      <c r="G38" s="135">
        <f t="shared" si="20"/>
        <v>2.5422843411536554E-3</v>
      </c>
      <c r="H38" s="136">
        <f t="shared" si="21"/>
        <v>4.6679569884296255</v>
      </c>
      <c r="I38" s="137">
        <f t="shared" si="17"/>
        <v>43.235409422662386</v>
      </c>
      <c r="J38" s="121">
        <f t="shared" si="5"/>
        <v>47.903366411092009</v>
      </c>
      <c r="K38" s="137">
        <f t="shared" si="22"/>
        <v>69.87118446888681</v>
      </c>
      <c r="L38" s="138">
        <v>0.9</v>
      </c>
      <c r="M38" s="133">
        <v>1357</v>
      </c>
      <c r="N38" s="123">
        <f t="shared" si="6"/>
        <v>1.3569999999999999E-3</v>
      </c>
      <c r="O38" s="139">
        <f t="shared" si="23"/>
        <v>2.3722762370534708E-2</v>
      </c>
      <c r="P38" s="138">
        <f t="shared" si="18"/>
        <v>3.0405240182783997</v>
      </c>
      <c r="Q38" s="139">
        <f t="shared" si="10"/>
        <v>3.0642467806489342</v>
      </c>
      <c r="R38" s="137">
        <f t="shared" si="24"/>
        <v>0.17199251079549494</v>
      </c>
      <c r="S38" s="134" t="str">
        <f t="shared" si="25"/>
        <v>Usar boca de lobo</v>
      </c>
      <c r="T38" s="140">
        <f>Sarjetas!J36</f>
        <v>0.30756852949274172</v>
      </c>
      <c r="U38" s="140" t="str">
        <f t="shared" si="26"/>
        <v>Ok</v>
      </c>
    </row>
    <row r="39" spans="1:22" x14ac:dyDescent="0.3">
      <c r="A39" s="142" t="s">
        <v>295</v>
      </c>
      <c r="B39" s="142" t="s">
        <v>187</v>
      </c>
      <c r="C39" s="104" t="s">
        <v>297</v>
      </c>
      <c r="D39" s="82">
        <f>E38</f>
        <v>5.8310000000000004</v>
      </c>
      <c r="E39" s="82">
        <f>E40</f>
        <v>5.3150000000000004</v>
      </c>
      <c r="F39" s="133">
        <f>F40</f>
        <v>190</v>
      </c>
      <c r="G39" s="135">
        <f t="shared" si="20"/>
        <v>2.7157894736842105E-3</v>
      </c>
      <c r="H39" s="136">
        <f t="shared" si="21"/>
        <v>9.9614937135275436</v>
      </c>
      <c r="I39" s="137">
        <f t="shared" si="17"/>
        <v>47.903366411092009</v>
      </c>
      <c r="J39" s="121">
        <f t="shared" si="5"/>
        <v>57.864860124619554</v>
      </c>
      <c r="K39" s="137">
        <f t="shared" si="22"/>
        <v>62.323532113522838</v>
      </c>
      <c r="L39" s="137">
        <v>0.9</v>
      </c>
      <c r="M39" s="133">
        <v>15152.19</v>
      </c>
      <c r="N39" s="123">
        <f t="shared" si="6"/>
        <v>1.5152190000000001E-2</v>
      </c>
      <c r="O39" s="139">
        <f t="shared" si="23"/>
        <v>0.23627336761381099</v>
      </c>
      <c r="P39" s="138">
        <f t="shared" si="18"/>
        <v>3.0642467806489342</v>
      </c>
      <c r="Q39" s="139">
        <f t="shared" si="10"/>
        <v>3.3005201482627453</v>
      </c>
      <c r="R39" s="137">
        <f t="shared" si="24"/>
        <v>0.17776470054537405</v>
      </c>
      <c r="S39" s="134" t="str">
        <f t="shared" si="25"/>
        <v>Usar boca de lobo</v>
      </c>
      <c r="T39" s="140">
        <f>Sarjetas!J37</f>
        <v>0.31789074587944433</v>
      </c>
      <c r="U39" s="140" t="str">
        <f t="shared" si="26"/>
        <v>Ok</v>
      </c>
    </row>
    <row r="40" spans="1:22" x14ac:dyDescent="0.3">
      <c r="A40" s="143"/>
      <c r="B40" s="143"/>
      <c r="C40" s="104" t="s">
        <v>298</v>
      </c>
      <c r="D40" s="82">
        <f>D39</f>
        <v>5.8310000000000004</v>
      </c>
      <c r="E40" s="82">
        <v>5.3150000000000004</v>
      </c>
      <c r="F40" s="133">
        <f>2350-2160</f>
        <v>190</v>
      </c>
      <c r="G40" s="135">
        <f t="shared" si="20"/>
        <v>2.7157894736842105E-3</v>
      </c>
      <c r="H40" s="136">
        <f t="shared" si="21"/>
        <v>9.9614937135275436</v>
      </c>
      <c r="I40" s="137">
        <f t="shared" si="17"/>
        <v>57.864860124619554</v>
      </c>
      <c r="J40" s="121">
        <f t="shared" si="5"/>
        <v>67.826353838147099</v>
      </c>
      <c r="K40" s="137">
        <f t="shared" si="22"/>
        <v>56.278620805821326</v>
      </c>
      <c r="L40" s="138">
        <v>0.9</v>
      </c>
      <c r="M40" s="133">
        <v>1458</v>
      </c>
      <c r="N40" s="123">
        <f t="shared" si="6"/>
        <v>1.4580000000000001E-3</v>
      </c>
      <c r="O40" s="139">
        <f t="shared" si="23"/>
        <v>2.0529968129548857E-2</v>
      </c>
      <c r="P40" s="138">
        <f t="shared" si="18"/>
        <v>3.3005201482627453</v>
      </c>
      <c r="Q40" s="139">
        <f t="shared" si="10"/>
        <v>3.3210501163922941</v>
      </c>
      <c r="R40" s="137">
        <f t="shared" si="24"/>
        <v>0.17776470054537405</v>
      </c>
      <c r="S40" s="134" t="str">
        <f t="shared" si="25"/>
        <v>Usar boca de lobo</v>
      </c>
      <c r="T40" s="140">
        <f>Sarjetas!J38</f>
        <v>0.31789074587944433</v>
      </c>
      <c r="U40" s="140" t="str">
        <f t="shared" si="26"/>
        <v>Ok</v>
      </c>
    </row>
    <row r="53" spans="1:19" x14ac:dyDescent="0.3">
      <c r="A53" s="95"/>
      <c r="G53" s="131"/>
      <c r="H53" s="115"/>
      <c r="I53" s="115"/>
      <c r="M53" s="132"/>
      <c r="R53" s="115"/>
      <c r="S53" s="115"/>
    </row>
  </sheetData>
  <mergeCells count="31">
    <mergeCell ref="U1:V1"/>
    <mergeCell ref="A2:A9"/>
    <mergeCell ref="B2:B6"/>
    <mergeCell ref="I2:J2"/>
    <mergeCell ref="A12:U12"/>
    <mergeCell ref="B14:B15"/>
    <mergeCell ref="B16:B17"/>
    <mergeCell ref="A16:A17"/>
    <mergeCell ref="A35:A36"/>
    <mergeCell ref="B35:B36"/>
    <mergeCell ref="A18:A19"/>
    <mergeCell ref="A23:A24"/>
    <mergeCell ref="A25:A26"/>
    <mergeCell ref="A27:A28"/>
    <mergeCell ref="A29:A30"/>
    <mergeCell ref="A14:A15"/>
    <mergeCell ref="B18:B19"/>
    <mergeCell ref="B23:B24"/>
    <mergeCell ref="B25:B26"/>
    <mergeCell ref="B27:B28"/>
    <mergeCell ref="B29:B30"/>
    <mergeCell ref="B37:B38"/>
    <mergeCell ref="B39:B40"/>
    <mergeCell ref="A20:A22"/>
    <mergeCell ref="B20:B22"/>
    <mergeCell ref="A37:A38"/>
    <mergeCell ref="A39:A40"/>
    <mergeCell ref="B31:B32"/>
    <mergeCell ref="B33:B34"/>
    <mergeCell ref="A31:A32"/>
    <mergeCell ref="A33:A34"/>
  </mergeCells>
  <phoneticPr fontId="3" type="noConversion"/>
  <pageMargins left="0.511811024" right="0.511811024" top="0.78740157499999996" bottom="0.78740157499999996" header="0.31496062000000002" footer="0.31496062000000002"/>
  <pageSetup paperSize="9" scale="3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7F93DE-D201-4601-A914-55BF83B1AAEA}">
  <dimension ref="A1:O38"/>
  <sheetViews>
    <sheetView tabSelected="1" view="pageBreakPreview" zoomScale="60" zoomScaleNormal="80" workbookViewId="0">
      <selection activeCell="J12" sqref="J12"/>
    </sheetView>
  </sheetViews>
  <sheetFormatPr defaultRowHeight="14.4" x14ac:dyDescent="0.3"/>
  <cols>
    <col min="1" max="1" width="23.77734375" customWidth="1"/>
    <col min="2" max="2" width="18.88671875" customWidth="1"/>
    <col min="3" max="3" width="15.44140625" customWidth="1"/>
    <col min="4" max="4" width="17" style="75" customWidth="1"/>
    <col min="5" max="5" width="15.6640625" customWidth="1"/>
    <col min="6" max="7" width="17.109375" customWidth="1"/>
    <col min="8" max="8" width="16.88671875" style="76" customWidth="1"/>
    <col min="9" max="10" width="16.44140625" customWidth="1"/>
  </cols>
  <sheetData>
    <row r="1" spans="1:15" ht="28.8" x14ac:dyDescent="0.3">
      <c r="A1" s="150" t="s">
        <v>245</v>
      </c>
      <c r="B1" s="151"/>
      <c r="D1"/>
      <c r="E1" s="145" t="s">
        <v>244</v>
      </c>
      <c r="F1" s="146"/>
      <c r="J1" s="103" t="s">
        <v>243</v>
      </c>
      <c r="K1" s="102" t="s">
        <v>242</v>
      </c>
    </row>
    <row r="2" spans="1:15" ht="15.6" x14ac:dyDescent="0.3">
      <c r="A2" s="93" t="s">
        <v>241</v>
      </c>
      <c r="B2" s="93">
        <f>Galeria!X5</f>
        <v>3609.11</v>
      </c>
      <c r="D2"/>
      <c r="E2" s="95" t="s">
        <v>240</v>
      </c>
      <c r="F2" s="101">
        <v>0.04</v>
      </c>
      <c r="J2" s="98">
        <v>1</v>
      </c>
      <c r="K2" s="98">
        <v>300</v>
      </c>
    </row>
    <row r="3" spans="1:15" ht="15.6" x14ac:dyDescent="0.3">
      <c r="A3" s="93" t="s">
        <v>239</v>
      </c>
      <c r="B3" s="93">
        <f>Galeria!U4</f>
        <v>0.12</v>
      </c>
      <c r="D3"/>
      <c r="E3" s="100" t="s">
        <v>231</v>
      </c>
      <c r="F3" s="99">
        <v>0.03</v>
      </c>
      <c r="J3" s="98">
        <v>2</v>
      </c>
      <c r="K3" s="98">
        <v>400</v>
      </c>
    </row>
    <row r="4" spans="1:15" ht="15.6" x14ac:dyDescent="0.3">
      <c r="A4" s="93" t="s">
        <v>238</v>
      </c>
      <c r="B4" s="93">
        <f>Galeria!U5</f>
        <v>30</v>
      </c>
      <c r="D4"/>
      <c r="E4" s="95" t="s">
        <v>91</v>
      </c>
      <c r="F4" s="96">
        <f>F2/F3</f>
        <v>1.3333333333333335</v>
      </c>
      <c r="J4" s="98">
        <v>3</v>
      </c>
      <c r="K4" s="97">
        <v>500</v>
      </c>
    </row>
    <row r="5" spans="1:15" ht="15.6" x14ac:dyDescent="0.3">
      <c r="A5" s="93" t="s">
        <v>237</v>
      </c>
      <c r="B5" s="93">
        <f>Galeria!X4</f>
        <v>0.95</v>
      </c>
      <c r="D5"/>
      <c r="E5" s="95" t="s">
        <v>236</v>
      </c>
      <c r="F5" s="96">
        <f>F2+(((F2^2)+(F4^2))^0.5)</f>
        <v>1.3739331983940493</v>
      </c>
      <c r="J5" s="84"/>
    </row>
    <row r="6" spans="1:15" ht="15.6" x14ac:dyDescent="0.3">
      <c r="A6" s="93" t="s">
        <v>235</v>
      </c>
      <c r="B6" s="93">
        <v>5</v>
      </c>
      <c r="D6"/>
      <c r="E6" s="95" t="s">
        <v>234</v>
      </c>
      <c r="F6" s="96">
        <f>F2*F4/2</f>
        <v>2.6666666666666672E-2</v>
      </c>
    </row>
    <row r="7" spans="1:15" ht="15.6" x14ac:dyDescent="0.3">
      <c r="A7" s="93" t="s">
        <v>233</v>
      </c>
      <c r="B7" s="93">
        <v>5</v>
      </c>
      <c r="D7"/>
      <c r="E7" s="95" t="s">
        <v>232</v>
      </c>
      <c r="F7" s="94">
        <f>F6/F5</f>
        <v>1.9408997975910742E-2</v>
      </c>
    </row>
    <row r="8" spans="1:15" ht="15.6" x14ac:dyDescent="0.3">
      <c r="A8" s="93" t="s">
        <v>231</v>
      </c>
      <c r="B8" s="92">
        <f>(B2*(B6^B3))/((B7+B4)^B5)</f>
        <v>149.42108211326459</v>
      </c>
      <c r="D8"/>
      <c r="M8" s="91">
        <f>0.04/(0.25-0.12)</f>
        <v>0.30769230769230771</v>
      </c>
    </row>
    <row r="9" spans="1:15" x14ac:dyDescent="0.3">
      <c r="D9"/>
    </row>
    <row r="10" spans="1:15" ht="15.75" customHeight="1" x14ac:dyDescent="0.3">
      <c r="A10" s="152" t="s">
        <v>230</v>
      </c>
      <c r="B10" s="153"/>
      <c r="C10" s="153"/>
      <c r="D10" s="153"/>
      <c r="E10" s="153"/>
      <c r="F10" s="153"/>
      <c r="G10" s="153"/>
      <c r="H10" s="153"/>
      <c r="I10" s="153"/>
      <c r="J10" s="153"/>
    </row>
    <row r="11" spans="1:15" s="31" customFormat="1" ht="62.4" x14ac:dyDescent="0.3">
      <c r="A11" s="82" t="s">
        <v>229</v>
      </c>
      <c r="B11" s="82" t="s">
        <v>0</v>
      </c>
      <c r="C11" s="82" t="s">
        <v>228</v>
      </c>
      <c r="D11" s="90" t="s">
        <v>227</v>
      </c>
      <c r="E11" s="90" t="s">
        <v>226</v>
      </c>
      <c r="F11" s="90" t="s">
        <v>225</v>
      </c>
      <c r="G11" s="90" t="s">
        <v>224</v>
      </c>
      <c r="H11" s="90" t="s">
        <v>223</v>
      </c>
      <c r="I11" s="90" t="s">
        <v>222</v>
      </c>
      <c r="J11" s="90" t="s">
        <v>221</v>
      </c>
      <c r="K11" s="89"/>
      <c r="L11" s="89">
        <v>0.06</v>
      </c>
      <c r="M11" s="89">
        <f>250/1000</f>
        <v>0.25</v>
      </c>
      <c r="N11" s="88"/>
      <c r="O11" s="87"/>
    </row>
    <row r="12" spans="1:15" ht="15.6" x14ac:dyDescent="0.3">
      <c r="A12" s="142" t="s">
        <v>300</v>
      </c>
      <c r="B12" s="82" t="s">
        <v>246</v>
      </c>
      <c r="C12" s="81">
        <f>'Bocas de Lobo'!D14-'Bocas de Lobo'!E14</f>
        <v>2.4930000000000003</v>
      </c>
      <c r="D12" s="141">
        <f>'Bocas de Lobo'!F14</f>
        <v>98.078000000000003</v>
      </c>
      <c r="E12" s="80">
        <f t="shared" ref="E12" si="0">C12/D12</f>
        <v>2.5418544423825937E-2</v>
      </c>
      <c r="F12" s="79">
        <f t="shared" ref="F12" si="1">E12</f>
        <v>2.5418544423825937E-2</v>
      </c>
      <c r="G12" s="81">
        <v>1.2999999999999999E-2</v>
      </c>
      <c r="H12" s="78">
        <f t="shared" ref="H12" si="2">($F$6*($F$7^(2/3))*(E12^0.5)/G12)</f>
        <v>2.3619432669293821E-2</v>
      </c>
      <c r="I12" s="78">
        <f t="shared" ref="I12" si="3">H12*2</f>
        <v>4.7238865338587642E-2</v>
      </c>
      <c r="J12" s="78">
        <f t="shared" ref="J12" si="4">0.61*((E12*100)^0.5)</f>
        <v>0.97253485182309174</v>
      </c>
      <c r="K12" s="77"/>
      <c r="L12" s="77"/>
      <c r="M12" s="77">
        <f>M11/I12</f>
        <v>5.2922524325702733</v>
      </c>
      <c r="N12" s="83"/>
    </row>
    <row r="13" spans="1:15" ht="15.6" x14ac:dyDescent="0.3">
      <c r="A13" s="143"/>
      <c r="B13" s="82" t="s">
        <v>247</v>
      </c>
      <c r="C13" s="81">
        <f>7.872-5.379</f>
        <v>2.4930000000000003</v>
      </c>
      <c r="D13" s="141">
        <f>100.078-2</f>
        <v>98.078000000000003</v>
      </c>
      <c r="E13" s="80">
        <f t="shared" ref="E13:E32" si="5">C13/D13</f>
        <v>2.5418544423825937E-2</v>
      </c>
      <c r="F13" s="79">
        <f t="shared" ref="F13:F32" si="6">E13</f>
        <v>2.5418544423825937E-2</v>
      </c>
      <c r="G13" s="81">
        <f>G12</f>
        <v>1.2999999999999999E-2</v>
      </c>
      <c r="H13" s="78">
        <f t="shared" ref="H13:H32" si="7">($F$6*($F$7^(2/3))*(E13^0.5)/G13)</f>
        <v>2.3619432669293821E-2</v>
      </c>
      <c r="I13" s="78">
        <f t="shared" ref="I13:I32" si="8">H13*2</f>
        <v>4.7238865338587642E-2</v>
      </c>
      <c r="J13" s="78">
        <f t="shared" ref="J13:J32" si="9">0.61*((E13*100)^0.5)</f>
        <v>0.97253485182309174</v>
      </c>
      <c r="K13" s="77"/>
      <c r="L13" s="77"/>
      <c r="M13" s="77"/>
      <c r="N13" s="83"/>
    </row>
    <row r="14" spans="1:15" ht="15.6" x14ac:dyDescent="0.3">
      <c r="A14" s="142" t="s">
        <v>301</v>
      </c>
      <c r="B14" s="82" t="s">
        <v>246</v>
      </c>
      <c r="C14" s="81">
        <f>'Bocas de Lobo'!D16-'Bocas de Lobo'!E16</f>
        <v>7.6999999999999957E-2</v>
      </c>
      <c r="D14" s="141">
        <f>'Bocas de Lobo'!F16</f>
        <v>20</v>
      </c>
      <c r="E14" s="80">
        <f t="shared" si="5"/>
        <v>3.849999999999998E-3</v>
      </c>
      <c r="F14" s="79">
        <f t="shared" si="6"/>
        <v>3.849999999999998E-3</v>
      </c>
      <c r="G14" s="81">
        <f t="shared" ref="G14:G38" si="10">G13</f>
        <v>1.2999999999999999E-2</v>
      </c>
      <c r="H14" s="78">
        <f t="shared" si="7"/>
        <v>9.1923063144606111E-3</v>
      </c>
      <c r="I14" s="78">
        <f t="shared" si="8"/>
        <v>1.8384612628921222E-2</v>
      </c>
      <c r="J14" s="78">
        <f t="shared" si="9"/>
        <v>0.37849504620272101</v>
      </c>
      <c r="K14" s="77"/>
      <c r="L14" s="77"/>
      <c r="M14" s="77"/>
      <c r="N14" s="83"/>
    </row>
    <row r="15" spans="1:15" ht="15.6" x14ac:dyDescent="0.3">
      <c r="A15" s="143"/>
      <c r="B15" s="82" t="s">
        <v>247</v>
      </c>
      <c r="C15" s="81">
        <f>'Bocas de Lobo'!D17-'Bocas de Lobo'!E17</f>
        <v>7.6999999999999957E-2</v>
      </c>
      <c r="D15" s="141">
        <f>'Bocas de Lobo'!F17</f>
        <v>20</v>
      </c>
      <c r="E15" s="80">
        <f t="shared" si="5"/>
        <v>3.849999999999998E-3</v>
      </c>
      <c r="F15" s="79">
        <f t="shared" si="6"/>
        <v>3.849999999999998E-3</v>
      </c>
      <c r="G15" s="81">
        <f t="shared" si="10"/>
        <v>1.2999999999999999E-2</v>
      </c>
      <c r="H15" s="78">
        <f t="shared" si="7"/>
        <v>9.1923063144606111E-3</v>
      </c>
      <c r="I15" s="78">
        <f t="shared" si="8"/>
        <v>1.8384612628921222E-2</v>
      </c>
      <c r="J15" s="78">
        <f t="shared" si="9"/>
        <v>0.37849504620272101</v>
      </c>
      <c r="K15" s="77"/>
      <c r="L15" s="77"/>
      <c r="M15" s="77"/>
      <c r="N15" s="83"/>
    </row>
    <row r="16" spans="1:15" ht="15.6" x14ac:dyDescent="0.3">
      <c r="A16" s="142" t="s">
        <v>302</v>
      </c>
      <c r="B16" s="82" t="s">
        <v>246</v>
      </c>
      <c r="C16" s="81">
        <f>'Bocas de Lobo'!D18-'Bocas de Lobo'!E18</f>
        <v>0.18400000000000016</v>
      </c>
      <c r="D16" s="141">
        <f>'Bocas de Lobo'!F18</f>
        <v>40</v>
      </c>
      <c r="E16" s="80">
        <f t="shared" si="5"/>
        <v>4.6000000000000043E-3</v>
      </c>
      <c r="F16" s="79">
        <f t="shared" si="6"/>
        <v>4.6000000000000043E-3</v>
      </c>
      <c r="G16" s="81">
        <f t="shared" si="10"/>
        <v>1.2999999999999999E-2</v>
      </c>
      <c r="H16" s="78">
        <f t="shared" si="7"/>
        <v>1.0047847591992011E-2</v>
      </c>
      <c r="I16" s="78">
        <f t="shared" si="8"/>
        <v>2.0095695183984023E-2</v>
      </c>
      <c r="J16" s="78">
        <f t="shared" si="9"/>
        <v>0.41372212897064153</v>
      </c>
      <c r="K16" s="77"/>
      <c r="L16" s="77"/>
      <c r="M16" s="77"/>
      <c r="N16" s="83"/>
    </row>
    <row r="17" spans="1:15" ht="15.6" x14ac:dyDescent="0.3">
      <c r="A17" s="143"/>
      <c r="B17" s="82" t="s">
        <v>247</v>
      </c>
      <c r="C17" s="81">
        <f>'Bocas de Lobo'!D19-'Bocas de Lobo'!E19</f>
        <v>0.18400000000000016</v>
      </c>
      <c r="D17" s="141">
        <f>'Bocas de Lobo'!F19</f>
        <v>40</v>
      </c>
      <c r="E17" s="80">
        <f t="shared" si="5"/>
        <v>4.6000000000000043E-3</v>
      </c>
      <c r="F17" s="79">
        <f t="shared" si="6"/>
        <v>4.6000000000000043E-3</v>
      </c>
      <c r="G17" s="81">
        <f t="shared" si="10"/>
        <v>1.2999999999999999E-2</v>
      </c>
      <c r="H17" s="78">
        <f t="shared" si="7"/>
        <v>1.0047847591992011E-2</v>
      </c>
      <c r="I17" s="78">
        <f t="shared" si="8"/>
        <v>2.0095695183984023E-2</v>
      </c>
      <c r="J17" s="78">
        <f t="shared" si="9"/>
        <v>0.41372212897064153</v>
      </c>
      <c r="K17" s="77"/>
      <c r="L17" s="77"/>
      <c r="M17" s="77">
        <f>0.14/H26</f>
        <v>6.391906655558576</v>
      </c>
      <c r="N17" s="83"/>
    </row>
    <row r="18" spans="1:15" ht="15.6" x14ac:dyDescent="0.3">
      <c r="A18" s="142" t="s">
        <v>303</v>
      </c>
      <c r="B18" s="82" t="s">
        <v>246</v>
      </c>
      <c r="C18" s="81">
        <f>'Bocas de Lobo'!D20-'Bocas de Lobo'!E20</f>
        <v>2.5000000000000355E-2</v>
      </c>
      <c r="D18" s="141">
        <f>'Bocas de Lobo'!F20</f>
        <v>5.63</v>
      </c>
      <c r="E18" s="80">
        <f t="shared" si="5"/>
        <v>4.4404973357016616E-3</v>
      </c>
      <c r="F18" s="79">
        <f t="shared" si="6"/>
        <v>4.4404973357016616E-3</v>
      </c>
      <c r="G18" s="81">
        <f t="shared" si="10"/>
        <v>1.2999999999999999E-2</v>
      </c>
      <c r="H18" s="78">
        <f t="shared" si="7"/>
        <v>9.8721087314399079E-3</v>
      </c>
      <c r="I18" s="78">
        <f t="shared" si="8"/>
        <v>1.9744217462879816E-2</v>
      </c>
      <c r="J18" s="78">
        <f t="shared" si="9"/>
        <v>0.40648604633057062</v>
      </c>
      <c r="K18" s="77"/>
      <c r="L18" s="77"/>
      <c r="M18" s="77"/>
      <c r="N18" s="83"/>
    </row>
    <row r="19" spans="1:15" ht="15.6" x14ac:dyDescent="0.3">
      <c r="A19" s="144"/>
      <c r="B19" s="82" t="s">
        <v>247</v>
      </c>
      <c r="C19" s="81">
        <f>'Bocas de Lobo'!D21-'Bocas de Lobo'!E21</f>
        <v>8.2000000000000739E-2</v>
      </c>
      <c r="D19" s="141">
        <f>'Bocas de Lobo'!F21</f>
        <v>71.959999999999994</v>
      </c>
      <c r="E19" s="80">
        <f t="shared" ref="E19" si="11">C19/D19</f>
        <v>1.1395219566425895E-3</v>
      </c>
      <c r="F19" s="79">
        <f t="shared" ref="F19" si="12">E19</f>
        <v>1.1395219566425895E-3</v>
      </c>
      <c r="G19" s="81">
        <f t="shared" si="10"/>
        <v>1.2999999999999999E-2</v>
      </c>
      <c r="H19" s="78">
        <f t="shared" ref="H19" si="13">($F$6*($F$7^(2/3))*(E19^0.5)/G19)</f>
        <v>5.0009840794571405E-3</v>
      </c>
      <c r="I19" s="78">
        <f t="shared" ref="I19" si="14">H19*2</f>
        <v>1.0001968158914281E-2</v>
      </c>
      <c r="J19" s="78">
        <f t="shared" ref="J19" si="15">0.61*((E19*100)^0.5)</f>
        <v>0.20591651708075956</v>
      </c>
      <c r="K19" s="77"/>
      <c r="L19" s="77"/>
      <c r="M19" s="77"/>
      <c r="N19" s="83"/>
    </row>
    <row r="20" spans="1:15" ht="15.6" x14ac:dyDescent="0.3">
      <c r="A20" s="143"/>
      <c r="B20" s="82" t="s">
        <v>248</v>
      </c>
      <c r="C20" s="81">
        <f>'Bocas de Lobo'!D22-'Bocas de Lobo'!E22</f>
        <v>2.5000000000000355E-2</v>
      </c>
      <c r="D20" s="141">
        <f>'Bocas de Lobo'!F22</f>
        <v>5.63</v>
      </c>
      <c r="E20" s="80">
        <f t="shared" si="5"/>
        <v>4.4404973357016616E-3</v>
      </c>
      <c r="F20" s="79">
        <f t="shared" si="6"/>
        <v>4.4404973357016616E-3</v>
      </c>
      <c r="G20" s="81">
        <f t="shared" si="10"/>
        <v>1.2999999999999999E-2</v>
      </c>
      <c r="H20" s="78">
        <f t="shared" si="7"/>
        <v>9.8721087314399079E-3</v>
      </c>
      <c r="I20" s="78">
        <f t="shared" si="8"/>
        <v>1.9744217462879816E-2</v>
      </c>
      <c r="J20" s="78">
        <f t="shared" si="9"/>
        <v>0.40648604633057062</v>
      </c>
      <c r="K20" s="77"/>
      <c r="L20" s="77"/>
      <c r="M20" s="77"/>
      <c r="N20" s="83"/>
    </row>
    <row r="21" spans="1:15" s="84" customFormat="1" ht="15.6" x14ac:dyDescent="0.3">
      <c r="A21" s="142" t="s">
        <v>304</v>
      </c>
      <c r="B21" s="82" t="s">
        <v>246</v>
      </c>
      <c r="C21" s="81">
        <f>'Bocas de Lobo'!D23-'Bocas de Lobo'!E23</f>
        <v>5.0650000000000013</v>
      </c>
      <c r="D21" s="141">
        <f>'Bocas de Lobo'!F23</f>
        <v>100</v>
      </c>
      <c r="E21" s="80">
        <f t="shared" si="5"/>
        <v>5.0650000000000014E-2</v>
      </c>
      <c r="F21" s="79">
        <f t="shared" si="6"/>
        <v>5.0650000000000014E-2</v>
      </c>
      <c r="G21" s="81">
        <f t="shared" si="10"/>
        <v>1.2999999999999999E-2</v>
      </c>
      <c r="H21" s="78">
        <f t="shared" si="7"/>
        <v>3.33414012394165E-2</v>
      </c>
      <c r="I21" s="78">
        <f t="shared" si="8"/>
        <v>6.6682802478833E-2</v>
      </c>
      <c r="J21" s="78">
        <f t="shared" si="9"/>
        <v>1.3728388470610817</v>
      </c>
      <c r="K21" s="86"/>
      <c r="L21" s="86"/>
      <c r="M21" s="86"/>
      <c r="N21" s="85"/>
    </row>
    <row r="22" spans="1:15" ht="15.6" x14ac:dyDescent="0.3">
      <c r="A22" s="143"/>
      <c r="B22" s="82" t="s">
        <v>247</v>
      </c>
      <c r="C22" s="81">
        <f>'Bocas de Lobo'!D24-'Bocas de Lobo'!E24</f>
        <v>5.0650000000000013</v>
      </c>
      <c r="D22" s="141">
        <f>'Bocas de Lobo'!F24</f>
        <v>100</v>
      </c>
      <c r="E22" s="80">
        <f t="shared" si="5"/>
        <v>5.0650000000000014E-2</v>
      </c>
      <c r="F22" s="79">
        <f t="shared" si="6"/>
        <v>5.0650000000000014E-2</v>
      </c>
      <c r="G22" s="81">
        <f t="shared" si="10"/>
        <v>1.2999999999999999E-2</v>
      </c>
      <c r="H22" s="78">
        <f t="shared" si="7"/>
        <v>3.33414012394165E-2</v>
      </c>
      <c r="I22" s="78">
        <f t="shared" si="8"/>
        <v>6.6682802478833E-2</v>
      </c>
      <c r="J22" s="78">
        <f t="shared" si="9"/>
        <v>1.3728388470610817</v>
      </c>
      <c r="K22" s="77"/>
      <c r="L22" s="77"/>
      <c r="M22" s="77"/>
      <c r="N22" s="83"/>
    </row>
    <row r="23" spans="1:15" ht="15.6" x14ac:dyDescent="0.3">
      <c r="A23" s="142" t="s">
        <v>305</v>
      </c>
      <c r="B23" s="82" t="s">
        <v>246</v>
      </c>
      <c r="C23" s="81">
        <f>'Bocas de Lobo'!D25-'Bocas de Lobo'!E25</f>
        <v>0.47599999999999998</v>
      </c>
      <c r="D23" s="141">
        <f>'Bocas de Lobo'!F25</f>
        <v>21.410000000000025</v>
      </c>
      <c r="E23" s="80">
        <f t="shared" si="5"/>
        <v>2.2232601588042945E-2</v>
      </c>
      <c r="F23" s="79">
        <f t="shared" si="6"/>
        <v>2.2232601588042945E-2</v>
      </c>
      <c r="G23" s="81">
        <f t="shared" si="10"/>
        <v>1.2999999999999999E-2</v>
      </c>
      <c r="H23" s="78">
        <f t="shared" si="7"/>
        <v>2.2089671927317277E-2</v>
      </c>
      <c r="I23" s="78">
        <f t="shared" si="8"/>
        <v>4.4179343854634553E-2</v>
      </c>
      <c r="J23" s="78">
        <f t="shared" si="9"/>
        <v>0.90954664811161723</v>
      </c>
      <c r="K23" s="77"/>
      <c r="L23" s="77"/>
      <c r="M23" s="77"/>
      <c r="N23" s="83"/>
    </row>
    <row r="24" spans="1:15" ht="15.6" x14ac:dyDescent="0.3">
      <c r="A24" s="143"/>
      <c r="B24" s="82" t="s">
        <v>247</v>
      </c>
      <c r="C24" s="81">
        <f>'Bocas de Lobo'!D26-'Bocas de Lobo'!E26</f>
        <v>0.47599999999999998</v>
      </c>
      <c r="D24" s="141">
        <f>'Bocas de Lobo'!F26</f>
        <v>21.410000000000025</v>
      </c>
      <c r="E24" s="80">
        <f t="shared" si="5"/>
        <v>2.2232601588042945E-2</v>
      </c>
      <c r="F24" s="79">
        <f t="shared" si="6"/>
        <v>2.2232601588042945E-2</v>
      </c>
      <c r="G24" s="81">
        <f t="shared" si="10"/>
        <v>1.2999999999999999E-2</v>
      </c>
      <c r="H24" s="78">
        <f t="shared" si="7"/>
        <v>2.2089671927317277E-2</v>
      </c>
      <c r="I24" s="78">
        <f t="shared" si="8"/>
        <v>4.4179343854634553E-2</v>
      </c>
      <c r="J24" s="78">
        <f t="shared" si="9"/>
        <v>0.90954664811161723</v>
      </c>
      <c r="K24" s="77"/>
      <c r="L24" s="77"/>
      <c r="M24" s="77"/>
      <c r="N24" s="83"/>
    </row>
    <row r="25" spans="1:15" ht="15.6" x14ac:dyDescent="0.3">
      <c r="A25" s="142" t="s">
        <v>306</v>
      </c>
      <c r="B25" s="82" t="s">
        <v>246</v>
      </c>
      <c r="C25" s="81">
        <f>'Bocas de Lobo'!D27-'Bocas de Lobo'!E27</f>
        <v>1.2329999999999999</v>
      </c>
      <c r="D25" s="141">
        <f>'Bocas de Lobo'!F27</f>
        <v>56.41</v>
      </c>
      <c r="E25" s="80">
        <f t="shared" si="5"/>
        <v>2.1857826626484667E-2</v>
      </c>
      <c r="F25" s="79">
        <f t="shared" si="6"/>
        <v>2.1857826626484667E-2</v>
      </c>
      <c r="G25" s="81">
        <f t="shared" si="10"/>
        <v>1.2999999999999999E-2</v>
      </c>
      <c r="H25" s="78">
        <f t="shared" si="7"/>
        <v>2.1902697824639258E-2</v>
      </c>
      <c r="I25" s="78">
        <f t="shared" si="8"/>
        <v>4.3805395649278517E-2</v>
      </c>
      <c r="J25" s="78">
        <f t="shared" si="9"/>
        <v>0.90184795213577684</v>
      </c>
      <c r="K25" s="77"/>
      <c r="L25" s="77"/>
      <c r="M25" s="77"/>
      <c r="N25" s="83"/>
    </row>
    <row r="26" spans="1:15" ht="15.6" x14ac:dyDescent="0.3">
      <c r="A26" s="143"/>
      <c r="B26" s="82" t="s">
        <v>247</v>
      </c>
      <c r="C26" s="81">
        <f>'Bocas de Lobo'!D28-'Bocas de Lobo'!E28</f>
        <v>1.2329999999999999</v>
      </c>
      <c r="D26" s="141">
        <f>'Bocas de Lobo'!F28</f>
        <v>56.41</v>
      </c>
      <c r="E26" s="80">
        <f t="shared" si="5"/>
        <v>2.1857826626484667E-2</v>
      </c>
      <c r="F26" s="79">
        <f t="shared" si="6"/>
        <v>2.1857826626484667E-2</v>
      </c>
      <c r="G26" s="81">
        <f t="shared" si="10"/>
        <v>1.2999999999999999E-2</v>
      </c>
      <c r="H26" s="78">
        <f t="shared" si="7"/>
        <v>2.1902697824639258E-2</v>
      </c>
      <c r="I26" s="78">
        <f t="shared" si="8"/>
        <v>4.3805395649278517E-2</v>
      </c>
      <c r="J26" s="78">
        <f t="shared" si="9"/>
        <v>0.90184795213577684</v>
      </c>
      <c r="K26" s="77"/>
      <c r="L26" s="77"/>
      <c r="M26" s="77"/>
      <c r="N26" s="83"/>
    </row>
    <row r="27" spans="1:15" ht="15.6" x14ac:dyDescent="0.3">
      <c r="A27" s="142" t="s">
        <v>307</v>
      </c>
      <c r="B27" s="82" t="s">
        <v>246</v>
      </c>
      <c r="C27" s="81">
        <f>'Bocas de Lobo'!D29-'Bocas de Lobo'!E29</f>
        <v>0.3580000000000001</v>
      </c>
      <c r="D27" s="141">
        <f>'Bocas de Lobo'!F29</f>
        <v>31</v>
      </c>
      <c r="E27" s="80">
        <f t="shared" si="5"/>
        <v>1.1548387096774197E-2</v>
      </c>
      <c r="F27" s="79">
        <f t="shared" si="6"/>
        <v>1.1548387096774197E-2</v>
      </c>
      <c r="G27" s="81">
        <f t="shared" si="10"/>
        <v>1.2999999999999999E-2</v>
      </c>
      <c r="H27" s="78">
        <f t="shared" si="7"/>
        <v>1.5920429852336593E-2</v>
      </c>
      <c r="I27" s="78">
        <f t="shared" si="8"/>
        <v>3.1840859704673187E-2</v>
      </c>
      <c r="J27" s="78">
        <f t="shared" si="9"/>
        <v>0.65552687501807883</v>
      </c>
      <c r="K27" s="78">
        <f t="shared" ref="K27:K32" si="16">0.61*((F27*100)^0.5)</f>
        <v>0.65552687501807883</v>
      </c>
      <c r="L27" s="77"/>
      <c r="M27" s="77"/>
      <c r="N27" s="77"/>
      <c r="O27" s="83"/>
    </row>
    <row r="28" spans="1:15" ht="15.6" x14ac:dyDescent="0.3">
      <c r="A28" s="143"/>
      <c r="B28" s="82" t="s">
        <v>247</v>
      </c>
      <c r="C28" s="81">
        <f>'Bocas de Lobo'!D30-'Bocas de Lobo'!E30</f>
        <v>0.3580000000000001</v>
      </c>
      <c r="D28" s="141">
        <f>'Bocas de Lobo'!F30</f>
        <v>31</v>
      </c>
      <c r="E28" s="80">
        <f t="shared" si="5"/>
        <v>1.1548387096774197E-2</v>
      </c>
      <c r="F28" s="79">
        <f t="shared" si="6"/>
        <v>1.1548387096774197E-2</v>
      </c>
      <c r="G28" s="81">
        <f t="shared" si="10"/>
        <v>1.2999999999999999E-2</v>
      </c>
      <c r="H28" s="78">
        <f t="shared" si="7"/>
        <v>1.5920429852336593E-2</v>
      </c>
      <c r="I28" s="78">
        <f t="shared" si="8"/>
        <v>3.1840859704673187E-2</v>
      </c>
      <c r="J28" s="78">
        <f t="shared" si="9"/>
        <v>0.65552687501807883</v>
      </c>
      <c r="K28" s="78">
        <f t="shared" si="16"/>
        <v>0.65552687501807883</v>
      </c>
      <c r="L28" s="77"/>
    </row>
    <row r="29" spans="1:15" ht="15.6" x14ac:dyDescent="0.3">
      <c r="A29" s="142" t="s">
        <v>308</v>
      </c>
      <c r="B29" s="82" t="s">
        <v>246</v>
      </c>
      <c r="C29" s="81">
        <f>'Bocas de Lobo'!D31-'Bocas de Lobo'!E31</f>
        <v>3.8899999999999997</v>
      </c>
      <c r="D29" s="141">
        <f>'Bocas de Lobo'!F31</f>
        <v>117</v>
      </c>
      <c r="E29" s="80">
        <f t="shared" si="5"/>
        <v>3.3247863247863246E-2</v>
      </c>
      <c r="F29" s="79">
        <f t="shared" si="6"/>
        <v>3.3247863247863246E-2</v>
      </c>
      <c r="G29" s="81">
        <f t="shared" si="10"/>
        <v>1.2999999999999999E-2</v>
      </c>
      <c r="H29" s="78">
        <f t="shared" si="7"/>
        <v>2.7013197443207328E-2</v>
      </c>
      <c r="I29" s="78">
        <f t="shared" si="8"/>
        <v>5.4026394886414655E-2</v>
      </c>
      <c r="J29" s="78">
        <f t="shared" si="9"/>
        <v>1.1122737933858693</v>
      </c>
      <c r="K29" s="78">
        <f t="shared" si="16"/>
        <v>1.1122737933858693</v>
      </c>
      <c r="L29" s="77"/>
    </row>
    <row r="30" spans="1:15" ht="15.6" x14ac:dyDescent="0.3">
      <c r="A30" s="143"/>
      <c r="B30" s="82" t="s">
        <v>247</v>
      </c>
      <c r="C30" s="81">
        <f>'Bocas de Lobo'!D32-'Bocas de Lobo'!E32</f>
        <v>3.8899999999999997</v>
      </c>
      <c r="D30" s="141">
        <f>'Bocas de Lobo'!F32</f>
        <v>117</v>
      </c>
      <c r="E30" s="80">
        <f t="shared" si="5"/>
        <v>3.3247863247863246E-2</v>
      </c>
      <c r="F30" s="79">
        <f t="shared" si="6"/>
        <v>3.3247863247863246E-2</v>
      </c>
      <c r="G30" s="81">
        <f t="shared" si="10"/>
        <v>1.2999999999999999E-2</v>
      </c>
      <c r="H30" s="78">
        <f t="shared" si="7"/>
        <v>2.7013197443207328E-2</v>
      </c>
      <c r="I30" s="78">
        <f t="shared" si="8"/>
        <v>5.4026394886414655E-2</v>
      </c>
      <c r="J30" s="78">
        <f t="shared" si="9"/>
        <v>1.1122737933858693</v>
      </c>
      <c r="K30" s="78">
        <f t="shared" si="16"/>
        <v>1.1122737933858693</v>
      </c>
      <c r="L30" s="77"/>
    </row>
    <row r="31" spans="1:15" ht="15.6" x14ac:dyDescent="0.3">
      <c r="A31" s="142" t="s">
        <v>309</v>
      </c>
      <c r="B31" s="82" t="s">
        <v>246</v>
      </c>
      <c r="C31" s="81">
        <f>'Bocas de Lobo'!D33-'Bocas de Lobo'!E33</f>
        <v>0.92799999999999994</v>
      </c>
      <c r="D31" s="141">
        <f>'Bocas de Lobo'!F33</f>
        <v>99.715000000000032</v>
      </c>
      <c r="E31" s="80">
        <f t="shared" si="5"/>
        <v>9.3065235922378739E-3</v>
      </c>
      <c r="F31" s="79">
        <f t="shared" si="6"/>
        <v>9.3065235922378739E-3</v>
      </c>
      <c r="G31" s="81">
        <f t="shared" si="10"/>
        <v>1.2999999999999999E-2</v>
      </c>
      <c r="H31" s="78">
        <f t="shared" si="7"/>
        <v>1.4291830749395662E-2</v>
      </c>
      <c r="I31" s="78">
        <f t="shared" si="8"/>
        <v>2.8583661498791324E-2</v>
      </c>
      <c r="J31" s="78">
        <f t="shared" si="9"/>
        <v>0.58846898207736598</v>
      </c>
      <c r="K31" s="78">
        <f t="shared" si="16"/>
        <v>0.58846898207736598</v>
      </c>
      <c r="L31" s="77"/>
    </row>
    <row r="32" spans="1:15" ht="15.6" x14ac:dyDescent="0.3">
      <c r="A32" s="143"/>
      <c r="B32" s="82" t="s">
        <v>247</v>
      </c>
      <c r="C32" s="81">
        <f>'Bocas de Lobo'!D34-'Bocas de Lobo'!E34</f>
        <v>0.92799999999999994</v>
      </c>
      <c r="D32" s="141">
        <f>'Bocas de Lobo'!F34</f>
        <v>99.715000000000032</v>
      </c>
      <c r="E32" s="80">
        <f t="shared" si="5"/>
        <v>9.3065235922378739E-3</v>
      </c>
      <c r="F32" s="79">
        <f t="shared" si="6"/>
        <v>9.3065235922378739E-3</v>
      </c>
      <c r="G32" s="81">
        <f t="shared" si="10"/>
        <v>1.2999999999999999E-2</v>
      </c>
      <c r="H32" s="78">
        <f t="shared" si="7"/>
        <v>1.4291830749395662E-2</v>
      </c>
      <c r="I32" s="78">
        <f t="shared" si="8"/>
        <v>2.8583661498791324E-2</v>
      </c>
      <c r="J32" s="78">
        <f t="shared" si="9"/>
        <v>0.58846898207736598</v>
      </c>
      <c r="K32" s="78">
        <f t="shared" si="16"/>
        <v>0.58846898207736598</v>
      </c>
      <c r="L32" s="77"/>
    </row>
    <row r="33" spans="1:10" ht="15.6" x14ac:dyDescent="0.3">
      <c r="A33" s="142" t="s">
        <v>310</v>
      </c>
      <c r="B33" s="82" t="s">
        <v>246</v>
      </c>
      <c r="C33" s="81">
        <f>'Bocas de Lobo'!D35-'Bocas de Lobo'!E35</f>
        <v>0.59499999999999975</v>
      </c>
      <c r="D33" s="141">
        <f>'Bocas de Lobo'!F35</f>
        <v>170.35500000000002</v>
      </c>
      <c r="E33" s="80">
        <f t="shared" ref="E33:E38" si="17">C33/D33</f>
        <v>3.4927064072084748E-3</v>
      </c>
      <c r="F33" s="79">
        <f t="shared" ref="F33:F38" si="18">E33</f>
        <v>3.4927064072084748E-3</v>
      </c>
      <c r="G33" s="81">
        <f t="shared" si="10"/>
        <v>1.2999999999999999E-2</v>
      </c>
      <c r="H33" s="78">
        <f t="shared" ref="H33:H38" si="19">($F$6*($F$7^(2/3))*(E33^0.5)/G33)</f>
        <v>8.7553832970196574E-3</v>
      </c>
      <c r="I33" s="78">
        <f t="shared" ref="I33:I38" si="20">H33*2</f>
        <v>1.7510766594039315E-2</v>
      </c>
      <c r="J33" s="78">
        <f t="shared" ref="J33:J38" si="21">0.61*((E33*100)^0.5)</f>
        <v>0.36050465380106722</v>
      </c>
    </row>
    <row r="34" spans="1:10" ht="15.6" x14ac:dyDescent="0.3">
      <c r="A34" s="143"/>
      <c r="B34" s="82" t="s">
        <v>247</v>
      </c>
      <c r="C34" s="81">
        <f>'Bocas de Lobo'!D36-'Bocas de Lobo'!E36</f>
        <v>0.59499999999999975</v>
      </c>
      <c r="D34" s="141">
        <f>'Bocas de Lobo'!F36</f>
        <v>170.35500000000002</v>
      </c>
      <c r="E34" s="80">
        <f t="shared" si="17"/>
        <v>3.4927064072084748E-3</v>
      </c>
      <c r="F34" s="79">
        <f t="shared" si="18"/>
        <v>3.4927064072084748E-3</v>
      </c>
      <c r="G34" s="81">
        <f t="shared" si="10"/>
        <v>1.2999999999999999E-2</v>
      </c>
      <c r="H34" s="78">
        <f t="shared" si="19"/>
        <v>8.7553832970196574E-3</v>
      </c>
      <c r="I34" s="78">
        <f t="shared" si="20"/>
        <v>1.7510766594039315E-2</v>
      </c>
      <c r="J34" s="78">
        <f t="shared" si="21"/>
        <v>0.36050465380106722</v>
      </c>
    </row>
    <row r="35" spans="1:10" ht="15.6" x14ac:dyDescent="0.3">
      <c r="A35" s="142" t="s">
        <v>311</v>
      </c>
      <c r="B35" s="82" t="s">
        <v>246</v>
      </c>
      <c r="C35" s="81">
        <f>'Bocas de Lobo'!D37-'Bocas de Lobo'!E37</f>
        <v>0.21899999999999942</v>
      </c>
      <c r="D35" s="141">
        <f>'Bocas de Lobo'!F37</f>
        <v>86.143000000000029</v>
      </c>
      <c r="E35" s="80">
        <f t="shared" si="17"/>
        <v>2.5422843411536554E-3</v>
      </c>
      <c r="F35" s="79">
        <f t="shared" si="18"/>
        <v>2.5422843411536554E-3</v>
      </c>
      <c r="G35" s="81">
        <f t="shared" si="10"/>
        <v>1.2999999999999999E-2</v>
      </c>
      <c r="H35" s="78">
        <f t="shared" si="19"/>
        <v>7.4697520196108941E-3</v>
      </c>
      <c r="I35" s="78">
        <f t="shared" si="20"/>
        <v>1.4939504039221788E-2</v>
      </c>
      <c r="J35" s="78">
        <f t="shared" si="21"/>
        <v>0.30756852949274172</v>
      </c>
    </row>
    <row r="36" spans="1:10" ht="15.6" x14ac:dyDescent="0.3">
      <c r="A36" s="143"/>
      <c r="B36" s="82" t="s">
        <v>247</v>
      </c>
      <c r="C36" s="81">
        <f>'Bocas de Lobo'!D38-'Bocas de Lobo'!E38</f>
        <v>0.21899999999999942</v>
      </c>
      <c r="D36" s="141">
        <f>'Bocas de Lobo'!F38</f>
        <v>86.143000000000029</v>
      </c>
      <c r="E36" s="80">
        <f t="shared" si="17"/>
        <v>2.5422843411536554E-3</v>
      </c>
      <c r="F36" s="79">
        <f t="shared" si="18"/>
        <v>2.5422843411536554E-3</v>
      </c>
      <c r="G36" s="81">
        <f t="shared" si="10"/>
        <v>1.2999999999999999E-2</v>
      </c>
      <c r="H36" s="78">
        <f t="shared" si="19"/>
        <v>7.4697520196108941E-3</v>
      </c>
      <c r="I36" s="78">
        <f t="shared" si="20"/>
        <v>1.4939504039221788E-2</v>
      </c>
      <c r="J36" s="78">
        <f t="shared" si="21"/>
        <v>0.30756852949274172</v>
      </c>
    </row>
    <row r="37" spans="1:10" ht="15.6" x14ac:dyDescent="0.3">
      <c r="A37" s="142" t="s">
        <v>312</v>
      </c>
      <c r="B37" s="82" t="s">
        <v>246</v>
      </c>
      <c r="C37" s="81">
        <f>'Bocas de Lobo'!D39-'Bocas de Lobo'!E39</f>
        <v>0.51600000000000001</v>
      </c>
      <c r="D37" s="141">
        <f>'Bocas de Lobo'!F39</f>
        <v>190</v>
      </c>
      <c r="E37" s="80">
        <f t="shared" si="17"/>
        <v>2.7157894736842105E-3</v>
      </c>
      <c r="F37" s="79">
        <f t="shared" si="18"/>
        <v>2.7157894736842105E-3</v>
      </c>
      <c r="G37" s="81">
        <f t="shared" si="10"/>
        <v>1.2999999999999999E-2</v>
      </c>
      <c r="H37" s="78">
        <f t="shared" si="19"/>
        <v>7.7204421563053004E-3</v>
      </c>
      <c r="I37" s="78">
        <f t="shared" si="20"/>
        <v>1.5440884312610601E-2</v>
      </c>
      <c r="J37" s="78">
        <f t="shared" si="21"/>
        <v>0.31789074587944433</v>
      </c>
    </row>
    <row r="38" spans="1:10" ht="15.6" x14ac:dyDescent="0.3">
      <c r="A38" s="143"/>
      <c r="B38" s="82" t="s">
        <v>247</v>
      </c>
      <c r="C38" s="81">
        <f>'Bocas de Lobo'!D40-'Bocas de Lobo'!E40</f>
        <v>0.51600000000000001</v>
      </c>
      <c r="D38" s="141">
        <f>'Bocas de Lobo'!F40</f>
        <v>190</v>
      </c>
      <c r="E38" s="80">
        <f t="shared" si="17"/>
        <v>2.7157894736842105E-3</v>
      </c>
      <c r="F38" s="79">
        <f t="shared" si="18"/>
        <v>2.7157894736842105E-3</v>
      </c>
      <c r="G38" s="81">
        <f t="shared" si="10"/>
        <v>1.2999999999999999E-2</v>
      </c>
      <c r="H38" s="78">
        <f t="shared" si="19"/>
        <v>7.7204421563053004E-3</v>
      </c>
      <c r="I38" s="78">
        <f t="shared" si="20"/>
        <v>1.5440884312610601E-2</v>
      </c>
      <c r="J38" s="78">
        <f t="shared" si="21"/>
        <v>0.31789074587944433</v>
      </c>
    </row>
  </sheetData>
  <mergeCells count="16">
    <mergeCell ref="E1:F1"/>
    <mergeCell ref="A1:B1"/>
    <mergeCell ref="A12:A13"/>
    <mergeCell ref="A16:A17"/>
    <mergeCell ref="A10:J10"/>
    <mergeCell ref="A14:A15"/>
    <mergeCell ref="A33:A34"/>
    <mergeCell ref="A35:A36"/>
    <mergeCell ref="A37:A38"/>
    <mergeCell ref="A31:A32"/>
    <mergeCell ref="A18:A20"/>
    <mergeCell ref="A21:A22"/>
    <mergeCell ref="A23:A24"/>
    <mergeCell ref="A25:A26"/>
    <mergeCell ref="A27:A28"/>
    <mergeCell ref="A29:A30"/>
  </mergeCells>
  <phoneticPr fontId="3" type="noConversion"/>
  <pageMargins left="0.511811024" right="0.511811024" top="0.78740157499999996" bottom="0.78740157499999996" header="0.31496062000000002" footer="0.31496062000000002"/>
  <pageSetup paperSize="9" scale="53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5B69F1-C120-4409-9A2B-7F0AE4EDC754}">
  <dimension ref="B1:AB55"/>
  <sheetViews>
    <sheetView view="pageBreakPreview" zoomScale="85" zoomScaleNormal="80" zoomScaleSheetLayoutView="85" workbookViewId="0">
      <selection activeCell="B7" sqref="B7"/>
    </sheetView>
  </sheetViews>
  <sheetFormatPr defaultRowHeight="14.4" x14ac:dyDescent="0.3"/>
  <cols>
    <col min="1" max="1" width="11.33203125" customWidth="1"/>
    <col min="2" max="2" width="14.109375" customWidth="1"/>
    <col min="3" max="15" width="11.33203125" customWidth="1"/>
    <col min="16" max="16" width="12.33203125" customWidth="1"/>
    <col min="17" max="17" width="13" customWidth="1"/>
    <col min="18" max="18" width="13.6640625" customWidth="1"/>
    <col min="19" max="27" width="11.33203125" customWidth="1"/>
  </cols>
  <sheetData>
    <row r="1" spans="2:28" x14ac:dyDescent="0.3">
      <c r="F1" s="155" t="s">
        <v>109</v>
      </c>
      <c r="G1" s="156"/>
      <c r="H1" s="156"/>
      <c r="I1" s="157"/>
    </row>
    <row r="2" spans="2:28" ht="15" thickBot="1" x14ac:dyDescent="0.35">
      <c r="F2" s="30"/>
      <c r="G2" s="3" t="s">
        <v>110</v>
      </c>
      <c r="H2" s="23"/>
      <c r="I2" s="28" t="s">
        <v>111</v>
      </c>
    </row>
    <row r="4" spans="2:28" ht="15" thickBot="1" x14ac:dyDescent="0.35"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4"/>
      <c r="R4" s="154"/>
      <c r="S4" s="154"/>
    </row>
    <row r="5" spans="2:28" ht="32.25" customHeight="1" x14ac:dyDescent="0.3">
      <c r="B5" s="160" t="s">
        <v>108</v>
      </c>
      <c r="C5" s="50" t="s">
        <v>91</v>
      </c>
      <c r="D5" s="159" t="s">
        <v>120</v>
      </c>
      <c r="E5" s="159"/>
      <c r="F5" s="50" t="s">
        <v>93</v>
      </c>
      <c r="G5" s="50" t="s">
        <v>95</v>
      </c>
      <c r="H5" s="159" t="s">
        <v>97</v>
      </c>
      <c r="I5" s="159"/>
      <c r="J5" s="159" t="s">
        <v>100</v>
      </c>
      <c r="K5" s="159"/>
      <c r="L5" s="158" t="s">
        <v>101</v>
      </c>
      <c r="M5" s="158"/>
      <c r="N5" s="50" t="s">
        <v>102</v>
      </c>
      <c r="O5" s="50" t="s">
        <v>103</v>
      </c>
      <c r="P5" s="50" t="s">
        <v>104</v>
      </c>
      <c r="Q5" s="51" t="s">
        <v>105</v>
      </c>
      <c r="R5" s="51" t="s">
        <v>24</v>
      </c>
      <c r="S5" s="52" t="s">
        <v>26</v>
      </c>
      <c r="AB5" s="21"/>
    </row>
    <row r="6" spans="2:28" ht="15" thickBot="1" x14ac:dyDescent="0.35">
      <c r="B6" s="161"/>
      <c r="C6" s="53" t="s">
        <v>92</v>
      </c>
      <c r="D6" s="53" t="s">
        <v>0</v>
      </c>
      <c r="E6" s="53" t="s">
        <v>53</v>
      </c>
      <c r="F6" s="53" t="s">
        <v>94</v>
      </c>
      <c r="G6" s="53" t="s">
        <v>96</v>
      </c>
      <c r="H6" s="53" t="s">
        <v>98</v>
      </c>
      <c r="I6" s="53" t="s">
        <v>99</v>
      </c>
      <c r="J6" s="53" t="s">
        <v>98</v>
      </c>
      <c r="K6" s="53" t="s">
        <v>99</v>
      </c>
      <c r="L6" s="53" t="s">
        <v>98</v>
      </c>
      <c r="M6" s="53" t="s">
        <v>99</v>
      </c>
      <c r="N6" s="53" t="s">
        <v>18</v>
      </c>
      <c r="O6" s="53" t="s">
        <v>92</v>
      </c>
      <c r="P6" s="53" t="s">
        <v>94</v>
      </c>
      <c r="Q6" s="53" t="s">
        <v>106</v>
      </c>
      <c r="R6" s="53" t="s">
        <v>106</v>
      </c>
      <c r="S6" s="54" t="s">
        <v>107</v>
      </c>
      <c r="AB6" s="21"/>
    </row>
    <row r="7" spans="2:28" x14ac:dyDescent="0.3">
      <c r="B7" s="55" t="str">
        <f>Galeria!A7</f>
        <v>PV1 - PV2</v>
      </c>
      <c r="C7" s="75">
        <f>Galeria!B7</f>
        <v>28.758700000000001</v>
      </c>
      <c r="D7" s="75">
        <f>Galeria!C7</f>
        <v>1387.3559500000001</v>
      </c>
      <c r="E7" s="75">
        <f>Galeria!D7</f>
        <v>1387.3559500000001</v>
      </c>
      <c r="F7" s="75">
        <f>Galeria!E7</f>
        <v>5</v>
      </c>
      <c r="G7" s="19">
        <f>Galeria!I7</f>
        <v>2.3033358591697362E-2</v>
      </c>
      <c r="H7" s="19">
        <f>Galeria!J7</f>
        <v>46.25</v>
      </c>
      <c r="I7" s="19">
        <f>Galeria!K7</f>
        <v>44.75</v>
      </c>
      <c r="J7" s="19">
        <f>Galeria!L7</f>
        <v>1.1000000000000001</v>
      </c>
      <c r="K7" s="19">
        <f>Galeria!M7</f>
        <v>1.1000000000000001</v>
      </c>
      <c r="L7" s="19">
        <f>Galeria!N7</f>
        <v>45.15</v>
      </c>
      <c r="M7" s="19">
        <f>Galeria!O7</f>
        <v>43.65</v>
      </c>
      <c r="N7" s="19">
        <f>Galeria!P7</f>
        <v>5.2158129539930521E-2</v>
      </c>
      <c r="O7" s="19">
        <f>Escoamento!G6/1000</f>
        <v>0.15</v>
      </c>
      <c r="P7" s="19">
        <f>Galeria!R7</f>
        <v>0.22185530385084995</v>
      </c>
      <c r="Q7" s="19">
        <f>Escoamento!P6</f>
        <v>2.1604697221433158</v>
      </c>
      <c r="R7" s="19">
        <f>Escoamento!Q6</f>
        <v>3.8041247883184122</v>
      </c>
      <c r="S7" s="38">
        <f>Escoamento!R6</f>
        <v>20.966648650522277</v>
      </c>
    </row>
    <row r="8" spans="2:28" x14ac:dyDescent="0.3">
      <c r="B8" s="55" t="str">
        <f>Galeria!A8</f>
        <v>PV2 - PV3</v>
      </c>
      <c r="C8" s="75">
        <f>Galeria!B8</f>
        <v>28.758700000000001</v>
      </c>
      <c r="D8" s="75">
        <f>Galeria!C8</f>
        <v>924.12535000000003</v>
      </c>
      <c r="E8" s="75">
        <f>Galeria!D8</f>
        <v>2311.4813000000004</v>
      </c>
      <c r="F8" s="75">
        <f>Galeria!E8</f>
        <v>5.2218553038508499</v>
      </c>
      <c r="G8" s="19">
        <f>Galeria!I8</f>
        <v>3.8146331371239635E-2</v>
      </c>
      <c r="H8" s="19">
        <f>Galeria!J8</f>
        <v>44.75</v>
      </c>
      <c r="I8" s="19">
        <f>Galeria!K8</f>
        <v>42</v>
      </c>
      <c r="J8" s="19">
        <f>Galeria!L8</f>
        <v>1.1000000000000001</v>
      </c>
      <c r="K8" s="19">
        <f>Galeria!M8</f>
        <v>1.1000000000000001</v>
      </c>
      <c r="L8" s="19">
        <f>Galeria!N8</f>
        <v>43.65</v>
      </c>
      <c r="M8" s="19">
        <f>Galeria!O8</f>
        <v>40.9</v>
      </c>
      <c r="N8" s="19">
        <f>Galeria!P8</f>
        <v>9.5623237489872628E-2</v>
      </c>
      <c r="O8" s="19">
        <f>Escoamento!G7/1000</f>
        <v>0.15</v>
      </c>
      <c r="P8" s="19">
        <f>Galeria!R8</f>
        <v>0.15887530441618553</v>
      </c>
      <c r="Q8" s="19">
        <f>Escoamento!P7</f>
        <v>3.0169047884942182</v>
      </c>
      <c r="R8" s="19">
        <f>Escoamento!Q7</f>
        <v>3.9339403435401845</v>
      </c>
      <c r="S8" s="38">
        <f>Escoamento!R7</f>
        <v>41.107066173758739</v>
      </c>
    </row>
    <row r="9" spans="2:28" x14ac:dyDescent="0.3">
      <c r="B9" s="55" t="str">
        <f>Galeria!A9</f>
        <v>PV3 - PV4</v>
      </c>
      <c r="C9" s="75">
        <f>Galeria!B9</f>
        <v>45.970300000000002</v>
      </c>
      <c r="D9" s="75">
        <f>Galeria!C9</f>
        <v>1514.7557000000002</v>
      </c>
      <c r="E9" s="75">
        <f>Galeria!D9</f>
        <v>3826.2370000000005</v>
      </c>
      <c r="F9" s="75">
        <f>Galeria!E9</f>
        <v>5.3807306082670356</v>
      </c>
      <c r="G9" s="19">
        <f>Galeria!I9</f>
        <v>6.2874916317556595E-2</v>
      </c>
      <c r="H9" s="19">
        <f>Galeria!J9</f>
        <v>42</v>
      </c>
      <c r="I9" s="19">
        <f>Galeria!K9</f>
        <v>39.5</v>
      </c>
      <c r="J9" s="19">
        <f>Galeria!L9</f>
        <v>1.1000000000000001</v>
      </c>
      <c r="K9" s="19">
        <f>Galeria!M9</f>
        <v>1.1000000000000001</v>
      </c>
      <c r="L9" s="19">
        <f>Galeria!N9</f>
        <v>40.9</v>
      </c>
      <c r="M9" s="19">
        <f>Galeria!O9</f>
        <v>38.4</v>
      </c>
      <c r="N9" s="19">
        <f>Galeria!P9</f>
        <v>5.4382938549454751E-2</v>
      </c>
      <c r="O9" s="19">
        <f>Escoamento!G8/1000</f>
        <v>0.2</v>
      </c>
      <c r="P9" s="19">
        <f>Galeria!R9</f>
        <v>0.28172735830589102</v>
      </c>
      <c r="Q9" s="19">
        <f>Escoamento!P8</f>
        <v>2.7195501043060957</v>
      </c>
      <c r="R9" s="19">
        <f>Escoamento!Q8</f>
        <v>4.5632628946624125</v>
      </c>
      <c r="S9" s="38">
        <f>Escoamento!R8</f>
        <v>31.456554325115558</v>
      </c>
    </row>
    <row r="10" spans="2:28" x14ac:dyDescent="0.3">
      <c r="B10" s="55" t="str">
        <f>Galeria!A10</f>
        <v>PV4 - PV5</v>
      </c>
      <c r="C10" s="75">
        <f>Galeria!B10</f>
        <v>45.970300000000002</v>
      </c>
      <c r="D10" s="75">
        <f>Galeria!C10</f>
        <v>1176.617</v>
      </c>
      <c r="E10" s="75">
        <f>Galeria!D10</f>
        <v>5002.8540000000003</v>
      </c>
      <c r="F10" s="75">
        <f>Galeria!E10</f>
        <v>5.6624579665729264</v>
      </c>
      <c r="G10" s="19">
        <f>Galeria!I10</f>
        <v>8.159266712614105E-2</v>
      </c>
      <c r="H10" s="19">
        <f>Galeria!J10</f>
        <v>39.5</v>
      </c>
      <c r="I10" s="19">
        <f>Galeria!K10</f>
        <v>43.25</v>
      </c>
      <c r="J10" s="19">
        <f>Galeria!L10</f>
        <v>1.1000000000000001</v>
      </c>
      <c r="K10" s="19">
        <f>Galeria!M10</f>
        <v>5.25</v>
      </c>
      <c r="L10" s="19">
        <f>Galeria!N10</f>
        <v>38.4</v>
      </c>
      <c r="M10" s="19">
        <f>Galeria!O10</f>
        <v>38</v>
      </c>
      <c r="N10" s="19">
        <f>Galeria!P10</f>
        <v>8.7012701679127294E-3</v>
      </c>
      <c r="O10" s="19">
        <f>Escoamento!G9/1000</f>
        <v>0.3</v>
      </c>
      <c r="P10" s="19">
        <f>Galeria!R10</f>
        <v>0.52900839115268949</v>
      </c>
      <c r="Q10" s="19">
        <f>Escoamento!P9</f>
        <v>1.4483166609081708</v>
      </c>
      <c r="R10" s="19">
        <f>Escoamento!Q9</f>
        <v>5.6482098244303289</v>
      </c>
      <c r="S10" s="38">
        <f>Escoamento!R9</f>
        <v>7.7108418601650692</v>
      </c>
    </row>
    <row r="11" spans="2:28" x14ac:dyDescent="0.3">
      <c r="B11" s="55" t="str">
        <f>Galeria!A11</f>
        <v>PV24 - PV25</v>
      </c>
      <c r="C11" s="75">
        <f>Galeria!B11</f>
        <v>37.014200000000002</v>
      </c>
      <c r="D11" s="75">
        <f>Galeria!C11</f>
        <v>4165.3</v>
      </c>
      <c r="E11" s="75">
        <f>Galeria!D11</f>
        <v>4165.3</v>
      </c>
      <c r="F11" s="75">
        <f>Galeria!E11</f>
        <v>6.1914663577256164</v>
      </c>
      <c r="G11" s="19">
        <f>Galeria!I11</f>
        <v>6.6989143584795297E-2</v>
      </c>
      <c r="H11" s="19">
        <f>Galeria!J11</f>
        <v>43</v>
      </c>
      <c r="I11" s="19">
        <f>Galeria!K11</f>
        <v>43.25</v>
      </c>
      <c r="J11" s="19">
        <f>Galeria!L11</f>
        <v>1.1000000000000001</v>
      </c>
      <c r="K11" s="19">
        <f>Galeria!M11</f>
        <v>1.75</v>
      </c>
      <c r="L11" s="19">
        <f>Galeria!N11</f>
        <v>41.9</v>
      </c>
      <c r="M11" s="19">
        <f>Galeria!O11</f>
        <v>41.5</v>
      </c>
      <c r="N11" s="19">
        <f>Galeria!P11</f>
        <v>1.08066633886454E-2</v>
      </c>
      <c r="O11" s="19">
        <f>Escoamento!G10/1000</f>
        <v>0.3</v>
      </c>
      <c r="P11" s="19">
        <f>Galeria!R11</f>
        <v>0.40627400561533433</v>
      </c>
      <c r="Q11" s="19">
        <f>Escoamento!P10</f>
        <v>1.5184415562078213</v>
      </c>
      <c r="R11" s="19">
        <f>Escoamento!Q10</f>
        <v>5.4193493559467214</v>
      </c>
      <c r="S11" s="38">
        <f>Escoamento!R10</f>
        <v>8.8162403263252234</v>
      </c>
    </row>
    <row r="12" spans="2:28" x14ac:dyDescent="0.3">
      <c r="B12" s="55" t="str">
        <f>Galeria!A12</f>
        <v>PV25 - PV26</v>
      </c>
      <c r="C12" s="75">
        <f>Galeria!B12</f>
        <v>36.978299999999997</v>
      </c>
      <c r="D12" s="75">
        <f>Galeria!C12</f>
        <v>1224.6796999999999</v>
      </c>
      <c r="E12" s="75">
        <f>Galeria!D12</f>
        <v>5389.9796999999999</v>
      </c>
      <c r="F12" s="75">
        <f>Galeria!E12</f>
        <v>6.597740363340951</v>
      </c>
      <c r="G12" s="19">
        <f>Galeria!I12</f>
        <v>8.5770823787403638E-2</v>
      </c>
      <c r="H12" s="19">
        <f>Galeria!J12</f>
        <v>43.25</v>
      </c>
      <c r="I12" s="19">
        <f>Galeria!K12</f>
        <v>45.5</v>
      </c>
      <c r="J12" s="19">
        <f>Galeria!L12</f>
        <v>1.75</v>
      </c>
      <c r="K12" s="19">
        <f>Galeria!M12</f>
        <v>4.25</v>
      </c>
      <c r="L12" s="19">
        <f>Galeria!N12</f>
        <v>41.5</v>
      </c>
      <c r="M12" s="19">
        <f>Galeria!O12</f>
        <v>41.25</v>
      </c>
      <c r="N12" s="19">
        <f>Galeria!P12</f>
        <v>6.7607218287482123E-3</v>
      </c>
      <c r="O12" s="19">
        <f>Escoamento!G11/1000</f>
        <v>0.375</v>
      </c>
      <c r="P12" s="19">
        <f>Galeria!R12</f>
        <v>0.45311730778948206</v>
      </c>
      <c r="Q12" s="19">
        <f>Escoamento!P11</f>
        <v>1.3601444690043372</v>
      </c>
      <c r="R12" s="19">
        <f>Escoamento!Q11</f>
        <v>5.9407545686965282</v>
      </c>
      <c r="S12" s="38">
        <f>Escoamento!R11</f>
        <v>6.6278670428724169</v>
      </c>
    </row>
    <row r="13" spans="2:28" x14ac:dyDescent="0.3">
      <c r="B13" s="55" t="str">
        <f>Galeria!A13</f>
        <v>PV26 - PV27</v>
      </c>
      <c r="C13" s="75">
        <f>Galeria!B13</f>
        <v>45.734699999999997</v>
      </c>
      <c r="D13" s="75">
        <f>Galeria!C13</f>
        <v>1373.8757000000001</v>
      </c>
      <c r="E13" s="75">
        <f>Galeria!D13</f>
        <v>6763.8554000000004</v>
      </c>
      <c r="F13" s="75">
        <f>Galeria!E13</f>
        <v>7.0508576711304327</v>
      </c>
      <c r="G13" s="19">
        <f>Galeria!I13</f>
        <v>0.10638244611220271</v>
      </c>
      <c r="H13" s="19">
        <f>Galeria!J13</f>
        <v>45.5</v>
      </c>
      <c r="I13" s="19">
        <f>Galeria!K13</f>
        <v>43.5</v>
      </c>
      <c r="J13" s="19">
        <f>Galeria!L13</f>
        <v>4.25</v>
      </c>
      <c r="K13" s="19">
        <f>Galeria!M13</f>
        <v>2.5</v>
      </c>
      <c r="L13" s="19">
        <f>Galeria!N13</f>
        <v>41.25</v>
      </c>
      <c r="M13" s="19">
        <f>Galeria!O13</f>
        <v>41</v>
      </c>
      <c r="N13" s="19">
        <f>Galeria!P13</f>
        <v>5.466308951408887E-3</v>
      </c>
      <c r="O13" s="19">
        <f>Escoamento!G12/1000</f>
        <v>0.375</v>
      </c>
      <c r="P13" s="19">
        <f>Galeria!R13</f>
        <v>0.58495725866121051</v>
      </c>
      <c r="Q13" s="19">
        <f>Escoamento!P12</f>
        <v>1.3030781116291252</v>
      </c>
      <c r="R13" s="19">
        <f>Escoamento!Q12</f>
        <v>6.252763148114358</v>
      </c>
      <c r="S13" s="38">
        <f>Escoamento!R12</f>
        <v>5.936570497652915</v>
      </c>
    </row>
    <row r="14" spans="2:28" x14ac:dyDescent="0.3">
      <c r="B14" s="55" t="str">
        <f>Galeria!A14</f>
        <v>PV27 - PV5</v>
      </c>
      <c r="C14" s="75">
        <f>Galeria!B14</f>
        <v>2.5985999999999998</v>
      </c>
      <c r="D14" s="75">
        <f>Galeria!C14</f>
        <v>0</v>
      </c>
      <c r="E14" s="75">
        <f>Galeria!D14</f>
        <v>6763.8554000000004</v>
      </c>
      <c r="F14" s="75">
        <f>Galeria!E14</f>
        <v>7.6358149297916436</v>
      </c>
      <c r="G14" s="19">
        <f>Galeria!I14</f>
        <v>0.10481104870912526</v>
      </c>
      <c r="H14" s="19">
        <f>Galeria!J14</f>
        <v>43.5</v>
      </c>
      <c r="I14" s="19">
        <f>Galeria!K14</f>
        <v>43.25</v>
      </c>
      <c r="J14" s="19">
        <f>Galeria!L14</f>
        <v>2.5</v>
      </c>
      <c r="K14" s="19">
        <f>Galeria!M14</f>
        <v>2.5</v>
      </c>
      <c r="L14" s="19">
        <f>Galeria!N14</f>
        <v>41</v>
      </c>
      <c r="M14" s="19">
        <f>Galeria!O14</f>
        <v>40.75</v>
      </c>
      <c r="N14" s="19">
        <f>Galeria!P14</f>
        <v>9.6205649195720777E-2</v>
      </c>
      <c r="O14" s="19">
        <f>Escoamento!G13/1000</f>
        <v>0.25</v>
      </c>
      <c r="P14" s="19">
        <f>Galeria!R14</f>
        <v>1.124217720446229E-2</v>
      </c>
      <c r="Q14" s="19">
        <f>Escoamento!P13</f>
        <v>3.852456620485329</v>
      </c>
      <c r="R14" s="19">
        <f>Escoamento!Q13</f>
        <v>4.8171827497137825</v>
      </c>
      <c r="S14" s="38">
        <f>Escoamento!R13</f>
        <v>62.013225187868358</v>
      </c>
    </row>
    <row r="15" spans="2:28" x14ac:dyDescent="0.3">
      <c r="B15" s="55" t="str">
        <f>Galeria!A15</f>
        <v>PV5 - PV6</v>
      </c>
      <c r="C15" s="75">
        <f>Galeria!B15</f>
        <v>33.258899999999997</v>
      </c>
      <c r="D15" s="75">
        <f>Galeria!C15</f>
        <v>725.27599999999995</v>
      </c>
      <c r="E15" s="75">
        <f>Galeria!D15</f>
        <v>12491.9854</v>
      </c>
      <c r="F15" s="75">
        <f>Galeria!E15</f>
        <v>7.6470571069961055</v>
      </c>
      <c r="G15" s="19">
        <f>Galeria!I15</f>
        <v>0.19351783504479547</v>
      </c>
      <c r="H15" s="19">
        <f>Galeria!J15</f>
        <v>43.25</v>
      </c>
      <c r="I15" s="19">
        <f>Galeria!K15</f>
        <v>41.5</v>
      </c>
      <c r="J15" s="19">
        <f>Galeria!L15</f>
        <v>5.25</v>
      </c>
      <c r="K15" s="19">
        <f>Galeria!M15</f>
        <v>3.75</v>
      </c>
      <c r="L15" s="19">
        <f>Galeria!N15</f>
        <v>38</v>
      </c>
      <c r="M15" s="19">
        <f>Galeria!O15</f>
        <v>37.75</v>
      </c>
      <c r="N15" s="19">
        <f>Galeria!P15</f>
        <v>7.5167849808622659E-3</v>
      </c>
      <c r="O15" s="19">
        <f>Escoamento!G14/1000</f>
        <v>0.45</v>
      </c>
      <c r="P15" s="19">
        <f>Galeria!R15</f>
        <v>0.32228490667715615</v>
      </c>
      <c r="Q15" s="19">
        <f>Escoamento!P14</f>
        <v>1.7199533348152611</v>
      </c>
      <c r="R15" s="19">
        <f>Escoamento!Q14</f>
        <v>6.8006027393345523</v>
      </c>
      <c r="S15" s="38">
        <f>Escoamento!R14</f>
        <v>9.6566043680214193</v>
      </c>
    </row>
    <row r="16" spans="2:28" x14ac:dyDescent="0.3">
      <c r="B16" s="55" t="str">
        <f>Galeria!A16</f>
        <v>PV6 - PV7</v>
      </c>
      <c r="C16" s="75">
        <f>Galeria!B16</f>
        <v>5.6288999999999998</v>
      </c>
      <c r="D16" s="75">
        <f>Galeria!C16</f>
        <v>1047.5581</v>
      </c>
      <c r="E16" s="75">
        <f>Galeria!D16</f>
        <v>13539.5435</v>
      </c>
      <c r="F16" s="75">
        <f>Galeria!E16</f>
        <v>7.9693420136732618</v>
      </c>
      <c r="G16" s="19">
        <f>Galeria!I16</f>
        <v>0.20805426080891309</v>
      </c>
      <c r="H16" s="19">
        <f>Galeria!J16</f>
        <v>41.5</v>
      </c>
      <c r="I16" s="19">
        <f>Galeria!K16</f>
        <v>41</v>
      </c>
      <c r="J16" s="19">
        <f>Galeria!L16</f>
        <v>3.75</v>
      </c>
      <c r="K16" s="19">
        <f>Galeria!M16</f>
        <v>3.5</v>
      </c>
      <c r="L16" s="19">
        <f>Galeria!N16</f>
        <v>37.75</v>
      </c>
      <c r="M16" s="19">
        <f>Galeria!O16</f>
        <v>37.5</v>
      </c>
      <c r="N16" s="19">
        <f>Galeria!P16</f>
        <v>4.4413650979765143E-2</v>
      </c>
      <c r="O16" s="19">
        <f>Escoamento!G15/1000</f>
        <v>0.375</v>
      </c>
      <c r="P16" s="19">
        <f>Galeria!R16</f>
        <v>2.7234687553717017E-2</v>
      </c>
      <c r="Q16" s="19">
        <f>Escoamento!P15</f>
        <v>3.4446879485935584</v>
      </c>
      <c r="R16" s="19">
        <f>Escoamento!Q15</f>
        <v>5.8811478488306799</v>
      </c>
      <c r="S16" s="38">
        <f>Escoamento!R15</f>
        <v>42.671525544518438</v>
      </c>
    </row>
    <row r="17" spans="2:19" x14ac:dyDescent="0.3">
      <c r="B17" s="55" t="str">
        <f>Galeria!A17</f>
        <v>PV7 - PV8</v>
      </c>
      <c r="C17" s="75">
        <f>Galeria!B17</f>
        <v>49.167400000000001</v>
      </c>
      <c r="D17" s="75">
        <f>Galeria!C17</f>
        <v>610.74839999999995</v>
      </c>
      <c r="E17" s="75">
        <f>Galeria!D17</f>
        <v>14150.2919</v>
      </c>
      <c r="F17" s="75">
        <f>Galeria!E17</f>
        <v>7.9965767012269788</v>
      </c>
      <c r="G17" s="19">
        <f>Galeria!I17</f>
        <v>0.21729121166720733</v>
      </c>
      <c r="H17" s="19">
        <f>Galeria!J17</f>
        <v>41</v>
      </c>
      <c r="I17" s="19">
        <f>Galeria!K17</f>
        <v>37.5</v>
      </c>
      <c r="J17" s="19">
        <f>Galeria!L17</f>
        <v>3.5</v>
      </c>
      <c r="K17" s="19">
        <f>Galeria!M17</f>
        <v>1.1000000000000001</v>
      </c>
      <c r="L17" s="19">
        <f>Galeria!N17</f>
        <v>37.5</v>
      </c>
      <c r="M17" s="19">
        <f>Galeria!O17</f>
        <v>36.4</v>
      </c>
      <c r="N17" s="19">
        <f>Galeria!P17</f>
        <v>2.2372547663695893E-2</v>
      </c>
      <c r="O17" s="19">
        <f>Escoamento!G16/1000</f>
        <v>0.375</v>
      </c>
      <c r="P17" s="19">
        <f>Galeria!R17</f>
        <v>0.30870791190352115</v>
      </c>
      <c r="Q17" s="19">
        <f>Escoamento!P16</f>
        <v>2.654472512913006</v>
      </c>
      <c r="R17" s="19">
        <f>Escoamento!Q16</f>
        <v>6.2553217511262496</v>
      </c>
      <c r="S17" s="38">
        <f>Escoamento!R16</f>
        <v>24.317126135025187</v>
      </c>
    </row>
    <row r="18" spans="2:19" x14ac:dyDescent="0.3">
      <c r="B18" s="55" t="str">
        <f>Galeria!A18</f>
        <v>PV8 - PV9</v>
      </c>
      <c r="C18" s="75">
        <f>Galeria!B18</f>
        <v>32.25</v>
      </c>
      <c r="D18" s="75">
        <f>Galeria!C18</f>
        <v>1011.8265999999999</v>
      </c>
      <c r="E18" s="75">
        <f>Galeria!D18</f>
        <v>15162.1185</v>
      </c>
      <c r="F18" s="75">
        <f>Galeria!E18</f>
        <v>8.3052846131304996</v>
      </c>
      <c r="G18" s="19">
        <f>Galeria!I18</f>
        <v>0.23104583160748218</v>
      </c>
      <c r="H18" s="19">
        <f>Galeria!J18</f>
        <v>37.5</v>
      </c>
      <c r="I18" s="19">
        <f>Galeria!K18</f>
        <v>38.5</v>
      </c>
      <c r="J18" s="19">
        <f>Galeria!L18</f>
        <v>1.1000000000000001</v>
      </c>
      <c r="K18" s="19">
        <f>Galeria!M18</f>
        <v>2.25</v>
      </c>
      <c r="L18" s="19">
        <f>Galeria!N18</f>
        <v>36.4</v>
      </c>
      <c r="M18" s="19">
        <f>Galeria!O18</f>
        <v>36.25</v>
      </c>
      <c r="N18" s="19">
        <f>Galeria!P18</f>
        <v>4.6511627906976301E-3</v>
      </c>
      <c r="O18" s="19">
        <f>Escoamento!G17/1000</f>
        <v>0.5</v>
      </c>
      <c r="P18" s="19">
        <f>Galeria!R18</f>
        <v>0.36221257884591079</v>
      </c>
      <c r="Q18" s="19">
        <f>Escoamento!P17</f>
        <v>1.4839352120586029</v>
      </c>
      <c r="R18" s="19">
        <f>Escoamento!Q17</f>
        <v>7.2878321286611225</v>
      </c>
      <c r="S18" s="38">
        <f>Escoamento!R17</f>
        <v>6.8620797332745234</v>
      </c>
    </row>
    <row r="19" spans="2:19" x14ac:dyDescent="0.3">
      <c r="B19" s="55" t="str">
        <f>Galeria!A19</f>
        <v>PV9 - PV10</v>
      </c>
      <c r="C19" s="75">
        <f>Galeria!B19</f>
        <v>32.25</v>
      </c>
      <c r="D19" s="75">
        <f>Galeria!C19</f>
        <v>1365.7670000000001</v>
      </c>
      <c r="E19" s="75">
        <f>Galeria!D19</f>
        <v>16527.8855</v>
      </c>
      <c r="F19" s="75">
        <f>Galeria!E19</f>
        <v>8.6674971919764108</v>
      </c>
      <c r="G19" s="19">
        <f>Galeria!I19</f>
        <v>0.24961607267742714</v>
      </c>
      <c r="H19" s="19">
        <f>Galeria!J19</f>
        <v>38.5</v>
      </c>
      <c r="I19" s="19">
        <f>Galeria!K19</f>
        <v>38.5</v>
      </c>
      <c r="J19" s="19">
        <f>Galeria!L19</f>
        <v>2.25</v>
      </c>
      <c r="K19" s="19">
        <f>Galeria!M19</f>
        <v>2.5</v>
      </c>
      <c r="L19" s="19">
        <f>Galeria!N19</f>
        <v>36.25</v>
      </c>
      <c r="M19" s="19">
        <f>Galeria!O19</f>
        <v>36</v>
      </c>
      <c r="N19" s="19">
        <f>Galeria!P19</f>
        <v>7.7519379844961239E-3</v>
      </c>
      <c r="O19" s="19">
        <f>Escoamento!G18/1000</f>
        <v>0.45</v>
      </c>
      <c r="P19" s="19">
        <f>Galeria!R19</f>
        <v>0.29794824057930641</v>
      </c>
      <c r="Q19" s="19">
        <f>Escoamento!P18</f>
        <v>1.8040046115222179</v>
      </c>
      <c r="R19" s="19">
        <f>Escoamento!Q18</f>
        <v>6.9542269046325353</v>
      </c>
      <c r="S19" s="38">
        <f>Escoamento!R18</f>
        <v>10.413710560102286</v>
      </c>
    </row>
    <row r="20" spans="2:19" x14ac:dyDescent="0.3">
      <c r="B20" s="55" t="str">
        <f>Galeria!A20</f>
        <v>PV10 - PV11</v>
      </c>
      <c r="C20" s="75">
        <f>Galeria!B20</f>
        <v>32.25</v>
      </c>
      <c r="D20" s="75">
        <f>Galeria!C20</f>
        <v>1365.7670000000001</v>
      </c>
      <c r="E20" s="75">
        <f>Galeria!D20</f>
        <v>17893.6525</v>
      </c>
      <c r="F20" s="75">
        <f>Galeria!E20</f>
        <v>8.9654454325557165</v>
      </c>
      <c r="G20" s="19">
        <f>Galeria!I20</f>
        <v>0.26827941208763767</v>
      </c>
      <c r="H20" s="19">
        <f>Galeria!J20</f>
        <v>38.5</v>
      </c>
      <c r="I20" s="19">
        <f>Galeria!K20</f>
        <v>37.5</v>
      </c>
      <c r="J20" s="19">
        <f>Galeria!L20</f>
        <v>2.5</v>
      </c>
      <c r="K20" s="19">
        <f>Galeria!M20</f>
        <v>1.75</v>
      </c>
      <c r="L20" s="19">
        <f>Galeria!N20</f>
        <v>36</v>
      </c>
      <c r="M20" s="19">
        <f>Galeria!O20</f>
        <v>35.75</v>
      </c>
      <c r="N20" s="19">
        <f>Galeria!P20</f>
        <v>7.7519379844961239E-3</v>
      </c>
      <c r="O20" s="19">
        <f>Escoamento!G19/1000</f>
        <v>0.5</v>
      </c>
      <c r="P20" s="19">
        <f>Galeria!R20</f>
        <v>0.28527225249098226</v>
      </c>
      <c r="Q20" s="19">
        <f>Escoamento!P19</f>
        <v>1.8841650223832787</v>
      </c>
      <c r="R20" s="19">
        <f>Escoamento!Q19</f>
        <v>7.198291453441108</v>
      </c>
      <c r="S20" s="38">
        <f>Escoamento!R19</f>
        <v>11.157493507468411</v>
      </c>
    </row>
    <row r="21" spans="2:19" x14ac:dyDescent="0.3">
      <c r="B21" s="55" t="str">
        <f>Galeria!A21</f>
        <v>PV11 - PV12</v>
      </c>
      <c r="C21" s="75">
        <f>Galeria!B21</f>
        <v>32.25</v>
      </c>
      <c r="D21" s="75">
        <f>Galeria!C21</f>
        <v>1365.7670000000001</v>
      </c>
      <c r="E21" s="75">
        <f>Galeria!D21</f>
        <v>19259.4195</v>
      </c>
      <c r="F21" s="75">
        <f>Galeria!E21</f>
        <v>9.2507176850466983</v>
      </c>
      <c r="G21" s="19">
        <f>Galeria!I21</f>
        <v>0.28676225103366887</v>
      </c>
      <c r="H21" s="19">
        <f>Galeria!J21</f>
        <v>37.5</v>
      </c>
      <c r="I21" s="19">
        <f>Galeria!K21</f>
        <v>37.5</v>
      </c>
      <c r="J21" s="19">
        <f>Galeria!L21</f>
        <v>1.75</v>
      </c>
      <c r="K21" s="19">
        <f>Galeria!M21</f>
        <v>2</v>
      </c>
      <c r="L21" s="19">
        <f>Galeria!N21</f>
        <v>35.75</v>
      </c>
      <c r="M21" s="19">
        <f>Galeria!O21</f>
        <v>35.5</v>
      </c>
      <c r="N21" s="19">
        <f>Galeria!P21</f>
        <v>7.7519379844961239E-3</v>
      </c>
      <c r="O21" s="19">
        <f>Escoamento!G20/1000</f>
        <v>0.5</v>
      </c>
      <c r="P21" s="19">
        <f>Galeria!R21</f>
        <v>0.2821351097567058</v>
      </c>
      <c r="Q21" s="19">
        <f>Escoamento!P20</f>
        <v>1.9051156038803665</v>
      </c>
      <c r="R21" s="19">
        <f>Escoamento!Q20</f>
        <v>7.2579103608089213</v>
      </c>
      <c r="S21" s="38">
        <f>Escoamento!R20</f>
        <v>11.343079846153636</v>
      </c>
    </row>
    <row r="22" spans="2:19" x14ac:dyDescent="0.3">
      <c r="B22" s="55" t="str">
        <f>Galeria!A22</f>
        <v>PV12 - PV13</v>
      </c>
      <c r="C22" s="75">
        <f>Galeria!B22</f>
        <v>32.25</v>
      </c>
      <c r="D22" s="75">
        <f>Galeria!C22</f>
        <v>1365.7670000000001</v>
      </c>
      <c r="E22" s="75">
        <f>Galeria!D22</f>
        <v>20625.1865</v>
      </c>
      <c r="F22" s="75">
        <f>Galeria!E22</f>
        <v>9.5328527948034036</v>
      </c>
      <c r="G22" s="19">
        <f>Galeria!I22</f>
        <v>0.30501531543141469</v>
      </c>
      <c r="H22" s="19">
        <f>Galeria!J22</f>
        <v>37.5</v>
      </c>
      <c r="I22" s="19">
        <f>Galeria!K22</f>
        <v>37.75</v>
      </c>
      <c r="J22" s="19">
        <f>Galeria!L22</f>
        <v>2</v>
      </c>
      <c r="K22" s="19">
        <f>Galeria!M22</f>
        <v>2.75</v>
      </c>
      <c r="L22" s="19">
        <f>Galeria!N22</f>
        <v>35.5</v>
      </c>
      <c r="M22" s="19">
        <f>Galeria!O22</f>
        <v>35</v>
      </c>
      <c r="N22" s="19">
        <f>Galeria!P22</f>
        <v>1.5503875968992248E-2</v>
      </c>
      <c r="O22" s="19">
        <f>Escoamento!G21/1000</f>
        <v>0.45</v>
      </c>
      <c r="P22" s="19">
        <f>Galeria!R22</f>
        <v>0.21414546840378967</v>
      </c>
      <c r="Q22" s="19">
        <f>Escoamento!P21</f>
        <v>2.5099760644315743</v>
      </c>
      <c r="R22" s="19">
        <f>Escoamento!Q21</f>
        <v>6.882413805107916</v>
      </c>
      <c r="S22" s="38">
        <f>Escoamento!R21</f>
        <v>20.39949172469424</v>
      </c>
    </row>
    <row r="23" spans="2:19" x14ac:dyDescent="0.3">
      <c r="B23" s="55" t="str">
        <f>Galeria!A23</f>
        <v>PV13 - PV14</v>
      </c>
      <c r="C23" s="75">
        <f>Galeria!B23</f>
        <v>32.25</v>
      </c>
      <c r="D23" s="75">
        <f>Galeria!C23</f>
        <v>1365.7670000000001</v>
      </c>
      <c r="E23" s="75">
        <f>Galeria!D23</f>
        <v>21990.9535</v>
      </c>
      <c r="F23" s="75">
        <f>Galeria!E23</f>
        <v>9.7469982632071925</v>
      </c>
      <c r="G23" s="19">
        <f>Galeria!I23</f>
        <v>0.32354817250356849</v>
      </c>
      <c r="H23" s="19">
        <f>Galeria!J23</f>
        <v>37.75</v>
      </c>
      <c r="I23" s="19">
        <f>Galeria!K23</f>
        <v>38</v>
      </c>
      <c r="J23" s="19">
        <f>Galeria!L23</f>
        <v>2.75</v>
      </c>
      <c r="K23" s="19">
        <f>Galeria!M23</f>
        <v>3.25</v>
      </c>
      <c r="L23" s="19">
        <f>Galeria!N23</f>
        <v>35</v>
      </c>
      <c r="M23" s="19">
        <f>Galeria!O23</f>
        <v>34.75</v>
      </c>
      <c r="N23" s="19">
        <f>Galeria!P23</f>
        <v>7.7519379844961239E-3</v>
      </c>
      <c r="O23" s="19">
        <f>Escoamento!G22/1000</f>
        <v>0.5</v>
      </c>
      <c r="P23" s="19">
        <f>Galeria!R23</f>
        <v>0.27843070043426288</v>
      </c>
      <c r="Q23" s="19">
        <f>Escoamento!P22</f>
        <v>1.9304624064863245</v>
      </c>
      <c r="R23" s="19">
        <f>Escoamento!Q22</f>
        <v>7.3280383204788491</v>
      </c>
      <c r="S23" s="38">
        <f>Escoamento!R22</f>
        <v>11.563338851508712</v>
      </c>
    </row>
    <row r="24" spans="2:19" x14ac:dyDescent="0.3">
      <c r="B24" s="55" t="str">
        <f>Galeria!A24</f>
        <v>PV14 - PV15</v>
      </c>
      <c r="C24" s="75">
        <f>Galeria!B24</f>
        <v>32.25</v>
      </c>
      <c r="D24" s="75">
        <f>Galeria!C24</f>
        <v>1365.7670000000001</v>
      </c>
      <c r="E24" s="75">
        <f>Galeria!D24</f>
        <v>23356.720499999999</v>
      </c>
      <c r="F24" s="75">
        <f>Galeria!E24</f>
        <v>10.025428963641456</v>
      </c>
      <c r="G24" s="19">
        <f>Galeria!I24</f>
        <v>0.3413710424762374</v>
      </c>
      <c r="H24" s="19">
        <f>Galeria!J24</f>
        <v>38</v>
      </c>
      <c r="I24" s="19">
        <f>Galeria!K24</f>
        <v>38</v>
      </c>
      <c r="J24" s="19">
        <f>Galeria!L24</f>
        <v>3.25</v>
      </c>
      <c r="K24" s="19">
        <f>Galeria!M24</f>
        <v>3.5</v>
      </c>
      <c r="L24" s="19">
        <f>Galeria!N24</f>
        <v>34.75</v>
      </c>
      <c r="M24" s="19">
        <f>Galeria!O24</f>
        <v>34.5</v>
      </c>
      <c r="N24" s="19">
        <f>Galeria!P24</f>
        <v>7.7519379844961239E-3</v>
      </c>
      <c r="O24" s="19">
        <f>Escoamento!G23/1000</f>
        <v>0.6</v>
      </c>
      <c r="P24" s="19">
        <f>Galeria!R24</f>
        <v>0.26605197944708581</v>
      </c>
      <c r="Q24" s="19">
        <f>Escoamento!P23</f>
        <v>2.0202819055022352</v>
      </c>
      <c r="R24" s="19">
        <f>Escoamento!Q23</f>
        <v>7.5923825954576412</v>
      </c>
      <c r="S24" s="38">
        <f>Escoamento!R23</f>
        <v>12.412634254049976</v>
      </c>
    </row>
    <row r="25" spans="2:19" x14ac:dyDescent="0.3">
      <c r="B25" s="55" t="str">
        <f>Galeria!A25</f>
        <v>PV15 - PV16</v>
      </c>
      <c r="C25" s="75">
        <f>Galeria!B25</f>
        <v>32.25</v>
      </c>
      <c r="D25" s="75">
        <f>Galeria!C25</f>
        <v>1365.7670000000001</v>
      </c>
      <c r="E25" s="75">
        <f>Galeria!D25</f>
        <v>24722.487499999999</v>
      </c>
      <c r="F25" s="75">
        <f>Galeria!E25</f>
        <v>10.291480943088542</v>
      </c>
      <c r="G25" s="19">
        <f>Galeria!I25</f>
        <v>0.35906544050504768</v>
      </c>
      <c r="H25" s="19">
        <f>Galeria!J25</f>
        <v>38</v>
      </c>
      <c r="I25" s="19">
        <f>Galeria!K25</f>
        <v>38</v>
      </c>
      <c r="J25" s="19">
        <f>Galeria!L25</f>
        <v>3.5</v>
      </c>
      <c r="K25" s="19">
        <f>Galeria!M25</f>
        <v>3.75</v>
      </c>
      <c r="L25" s="19">
        <f>Galeria!N25</f>
        <v>34.5</v>
      </c>
      <c r="M25" s="19">
        <f>Galeria!O25</f>
        <v>34.25</v>
      </c>
      <c r="N25" s="19">
        <f>Galeria!P25</f>
        <v>7.7519379844961239E-3</v>
      </c>
      <c r="O25" s="19">
        <f>Escoamento!G24/1000</f>
        <v>0.6</v>
      </c>
      <c r="P25" s="19">
        <f>Galeria!R25</f>
        <v>0.26313295933907549</v>
      </c>
      <c r="Q25" s="19">
        <f>Escoamento!P24</f>
        <v>2.042693554429921</v>
      </c>
      <c r="R25" s="19">
        <f>Escoamento!Q24</f>
        <v>7.6577703702017637</v>
      </c>
      <c r="S25" s="38">
        <f>Escoamento!R24</f>
        <v>12.627357244345406</v>
      </c>
    </row>
    <row r="26" spans="2:19" x14ac:dyDescent="0.3">
      <c r="B26" s="55" t="str">
        <f>Galeria!A26</f>
        <v>PV16 - PV17</v>
      </c>
      <c r="C26" s="75">
        <f>Galeria!B26</f>
        <v>32.25</v>
      </c>
      <c r="D26" s="75">
        <f>Galeria!C26</f>
        <v>1365.7670000000001</v>
      </c>
      <c r="E26" s="75">
        <f>Galeria!D26</f>
        <v>26088.254499999999</v>
      </c>
      <c r="F26" s="75">
        <f>Galeria!E26</f>
        <v>10.554613902427619</v>
      </c>
      <c r="G26" s="19">
        <f>Galeria!I26</f>
        <v>0.37656571366548347</v>
      </c>
      <c r="H26" s="19">
        <f>Galeria!J26</f>
        <v>38</v>
      </c>
      <c r="I26" s="19">
        <f>Galeria!K26</f>
        <v>38</v>
      </c>
      <c r="J26" s="19">
        <f>Galeria!L26</f>
        <v>3.75</v>
      </c>
      <c r="K26" s="19">
        <f>Galeria!M26</f>
        <v>4</v>
      </c>
      <c r="L26" s="19">
        <f>Galeria!N26</f>
        <v>34.25</v>
      </c>
      <c r="M26" s="19">
        <f>Galeria!O26</f>
        <v>34</v>
      </c>
      <c r="N26" s="19">
        <f>Galeria!P26</f>
        <v>7.7519379844961239E-3</v>
      </c>
      <c r="O26" s="19">
        <f>Escoamento!G25/1000</f>
        <v>0.6</v>
      </c>
      <c r="P26" s="19">
        <f>Galeria!R26</f>
        <v>0.26056119924358817</v>
      </c>
      <c r="Q26" s="19">
        <f>Escoamento!P25</f>
        <v>2.0628551049057497</v>
      </c>
      <c r="R26" s="19">
        <f>Escoamento!Q25</f>
        <v>7.7181464848440822</v>
      </c>
      <c r="S26" s="38">
        <f>Escoamento!R25</f>
        <v>12.827257786716423</v>
      </c>
    </row>
    <row r="27" spans="2:19" x14ac:dyDescent="0.3">
      <c r="B27" s="55" t="str">
        <f>Galeria!A27</f>
        <v>PV17 - PV18</v>
      </c>
      <c r="C27" s="75">
        <f>Galeria!B27</f>
        <v>32.25</v>
      </c>
      <c r="D27" s="75">
        <f>Galeria!C27</f>
        <v>640.31820000000005</v>
      </c>
      <c r="E27" s="75">
        <f>Galeria!D27</f>
        <v>26728.572700000001</v>
      </c>
      <c r="F27" s="75">
        <f>Galeria!E27</f>
        <v>10.815175101671207</v>
      </c>
      <c r="G27" s="19">
        <f>Galeria!I27</f>
        <v>0.38346806084366775</v>
      </c>
      <c r="H27" s="19">
        <f>Galeria!J27</f>
        <v>38</v>
      </c>
      <c r="I27" s="19">
        <f>Galeria!K27</f>
        <v>37.75</v>
      </c>
      <c r="J27" s="19">
        <f>Galeria!L27</f>
        <v>4</v>
      </c>
      <c r="K27" s="19">
        <f>Galeria!M27</f>
        <v>4</v>
      </c>
      <c r="L27" s="19">
        <f>Galeria!N27</f>
        <v>34</v>
      </c>
      <c r="M27" s="19">
        <f>Galeria!O27</f>
        <v>33.75</v>
      </c>
      <c r="N27" s="19">
        <f>Galeria!P27</f>
        <v>7.7519379844961239E-3</v>
      </c>
      <c r="O27" s="19">
        <f>Escoamento!G26/1000</f>
        <v>0.6</v>
      </c>
      <c r="P27" s="19">
        <f>Galeria!R27</f>
        <v>0.25960107534408355</v>
      </c>
      <c r="Q27" s="19">
        <f>Escoamento!P26</f>
        <v>2.0704844896639214</v>
      </c>
      <c r="R27" s="19">
        <f>Escoamento!Q26</f>
        <v>7.7406362280993317</v>
      </c>
      <c r="S27" s="38">
        <f>Escoamento!R26</f>
        <v>12.902120847494364</v>
      </c>
    </row>
    <row r="28" spans="2:19" x14ac:dyDescent="0.3">
      <c r="B28" s="55" t="str">
        <f>Galeria!A28</f>
        <v>PV18 - PV19</v>
      </c>
      <c r="C28" s="75">
        <f>Galeria!B28</f>
        <v>32.25</v>
      </c>
      <c r="D28" s="75">
        <f>Galeria!C28</f>
        <v>640.31820000000005</v>
      </c>
      <c r="E28" s="75">
        <f>Galeria!D28</f>
        <v>27368.890900000002</v>
      </c>
      <c r="F28" s="75">
        <f>Galeria!E28</f>
        <v>11.074776177015289</v>
      </c>
      <c r="G28" s="19">
        <f>Galeria!I28</f>
        <v>0.39029659551622875</v>
      </c>
      <c r="H28" s="19">
        <f>Galeria!J28</f>
        <v>37.75</v>
      </c>
      <c r="I28" s="19">
        <f>Galeria!K28</f>
        <v>38</v>
      </c>
      <c r="J28" s="19">
        <f>Galeria!L28</f>
        <v>4</v>
      </c>
      <c r="K28" s="19">
        <f>Galeria!M28</f>
        <v>4.5</v>
      </c>
      <c r="L28" s="19">
        <f>Galeria!N28</f>
        <v>33.75</v>
      </c>
      <c r="M28" s="19">
        <f>Galeria!O28</f>
        <v>33.5</v>
      </c>
      <c r="N28" s="19">
        <f>Galeria!P28</f>
        <v>7.7519379844961239E-3</v>
      </c>
      <c r="O28" s="19">
        <f>Escoamento!G27/1000</f>
        <v>0.6</v>
      </c>
      <c r="P28" s="19">
        <f>Galeria!R28</f>
        <v>0.25813743384031684</v>
      </c>
      <c r="Q28" s="19">
        <f>Escoamento!P27</f>
        <v>2.082224154798471</v>
      </c>
      <c r="R28" s="19">
        <f>Escoamento!Q27</f>
        <v>7.758975968875168</v>
      </c>
      <c r="S28" s="38">
        <f>Escoamento!R27</f>
        <v>12.963330767782589</v>
      </c>
    </row>
    <row r="29" spans="2:19" x14ac:dyDescent="0.3">
      <c r="B29" s="55" t="str">
        <f>Galeria!A29</f>
        <v>PV19 - PV20</v>
      </c>
      <c r="C29" s="75">
        <f>Galeria!B29</f>
        <v>32.25</v>
      </c>
      <c r="D29" s="75">
        <f>Galeria!C29</f>
        <v>640.31820000000005</v>
      </c>
      <c r="E29" s="75">
        <f>Galeria!D29</f>
        <v>28009.209100000004</v>
      </c>
      <c r="F29" s="75">
        <f>Galeria!E29</f>
        <v>11.332913610855606</v>
      </c>
      <c r="G29" s="19">
        <f>Galeria!I29</f>
        <v>0.39705771264628109</v>
      </c>
      <c r="H29" s="19">
        <f>Galeria!J29</f>
        <v>38</v>
      </c>
      <c r="I29" s="19">
        <f>Galeria!K29</f>
        <v>37.5</v>
      </c>
      <c r="J29" s="19">
        <f>Galeria!L29</f>
        <v>4.5</v>
      </c>
      <c r="K29" s="19">
        <f>Galeria!M29</f>
        <v>4.25</v>
      </c>
      <c r="L29" s="19">
        <f>Galeria!N29</f>
        <v>33.5</v>
      </c>
      <c r="M29" s="19">
        <f>Galeria!O29</f>
        <v>33.25</v>
      </c>
      <c r="N29" s="19">
        <f>Galeria!P29</f>
        <v>7.7519379844961239E-3</v>
      </c>
      <c r="O29" s="19">
        <f>Escoamento!G28/1000</f>
        <v>0.6</v>
      </c>
      <c r="P29" s="19">
        <f>Galeria!R29</f>
        <v>0.25722956331683133</v>
      </c>
      <c r="Q29" s="19">
        <f>Escoamento!P28</f>
        <v>2.0895731931790351</v>
      </c>
      <c r="R29" s="19">
        <f>Escoamento!Q28</f>
        <v>7.779487093784919</v>
      </c>
      <c r="S29" s="38">
        <f>Escoamento!R28</f>
        <v>13.031959397580987</v>
      </c>
    </row>
    <row r="30" spans="2:19" x14ac:dyDescent="0.3">
      <c r="B30" s="55" t="str">
        <f>Galeria!A30</f>
        <v>PV20 - PV21</v>
      </c>
      <c r="C30" s="75">
        <f>Galeria!B30</f>
        <v>32.25</v>
      </c>
      <c r="D30" s="75">
        <f>Galeria!C30</f>
        <v>640.31820000000005</v>
      </c>
      <c r="E30" s="75">
        <f>Galeria!D30</f>
        <v>28649.527300000005</v>
      </c>
      <c r="F30" s="75">
        <f>Galeria!E30</f>
        <v>11.590143174172438</v>
      </c>
      <c r="G30" s="19">
        <f>Galeria!I30</f>
        <v>0.40374817852700928</v>
      </c>
      <c r="H30" s="19">
        <f>Galeria!J30</f>
        <v>37.5</v>
      </c>
      <c r="I30" s="19">
        <f>Galeria!K30</f>
        <v>37</v>
      </c>
      <c r="J30" s="19">
        <f>Galeria!L30</f>
        <v>4.25</v>
      </c>
      <c r="K30" s="19">
        <f>Galeria!M30</f>
        <v>4</v>
      </c>
      <c r="L30" s="19">
        <f>Galeria!N30</f>
        <v>33.25</v>
      </c>
      <c r="M30" s="19">
        <f>Galeria!O30</f>
        <v>33</v>
      </c>
      <c r="N30" s="19">
        <f>Galeria!P30</f>
        <v>7.7519379844961239E-3</v>
      </c>
      <c r="O30" s="19">
        <f>Escoamento!G29/1000</f>
        <v>0.6</v>
      </c>
      <c r="P30" s="19">
        <f>Galeria!R30</f>
        <v>0.25636484392757758</v>
      </c>
      <c r="Q30" s="19">
        <f>Escoamento!P29</f>
        <v>2.0966213298413194</v>
      </c>
      <c r="R30" s="19">
        <f>Escoamento!Q29</f>
        <v>7.799138683713009</v>
      </c>
      <c r="S30" s="38">
        <f>Escoamento!R29</f>
        <v>13.097882043020816</v>
      </c>
    </row>
    <row r="31" spans="2:19" x14ac:dyDescent="0.3">
      <c r="B31" s="55" t="str">
        <f>Galeria!A31</f>
        <v>PV21 - PV22</v>
      </c>
      <c r="C31" s="75">
        <f>Galeria!B31</f>
        <v>32.25</v>
      </c>
      <c r="D31" s="75">
        <f>Galeria!C31</f>
        <v>640.31820000000005</v>
      </c>
      <c r="E31" s="75">
        <f>Galeria!D31</f>
        <v>29289.845500000007</v>
      </c>
      <c r="F31" s="75">
        <f>Galeria!E31</f>
        <v>11.846508018100016</v>
      </c>
      <c r="G31" s="19">
        <f>Galeria!I31</f>
        <v>0.41036926729924966</v>
      </c>
      <c r="H31" s="19">
        <f>Galeria!J31</f>
        <v>37</v>
      </c>
      <c r="I31" s="19">
        <f>Galeria!K31</f>
        <v>36</v>
      </c>
      <c r="J31" s="19">
        <f>Galeria!L31</f>
        <v>4</v>
      </c>
      <c r="K31" s="19">
        <f>Galeria!M31</f>
        <v>3.25</v>
      </c>
      <c r="L31" s="19">
        <f>Galeria!N31</f>
        <v>33</v>
      </c>
      <c r="M31" s="19">
        <f>Galeria!O31</f>
        <v>32.75</v>
      </c>
      <c r="N31" s="19">
        <f>Galeria!P31</f>
        <v>7.7519379844961239E-3</v>
      </c>
      <c r="O31" s="19">
        <f>Escoamento!G30/1000</f>
        <v>0.6</v>
      </c>
      <c r="P31" s="19">
        <f>Galeria!R31</f>
        <v>0.25554158862349979</v>
      </c>
      <c r="Q31" s="19">
        <f>Escoamento!P30</f>
        <v>2.103375825810966</v>
      </c>
      <c r="R31" s="19">
        <f>Escoamento!Q30</f>
        <v>7.8179530503299093</v>
      </c>
      <c r="S31" s="38">
        <f>Escoamento!R30</f>
        <v>13.161152001973024</v>
      </c>
    </row>
    <row r="32" spans="2:19" x14ac:dyDescent="0.3">
      <c r="B32" s="55" t="str">
        <f>Galeria!A32</f>
        <v>PV22 - PV23</v>
      </c>
      <c r="C32" s="75">
        <f>Galeria!B32</f>
        <v>32.25</v>
      </c>
      <c r="D32" s="75">
        <f>Galeria!C32</f>
        <v>290.60180000000003</v>
      </c>
      <c r="E32" s="75">
        <f>Galeria!D32</f>
        <v>29580.447300000007</v>
      </c>
      <c r="F32" s="75">
        <f>Galeria!E32</f>
        <v>12.102049606723515</v>
      </c>
      <c r="G32" s="19">
        <f>Galeria!I32</f>
        <v>0.41205071317388792</v>
      </c>
      <c r="H32" s="19">
        <f>Galeria!J32</f>
        <v>36</v>
      </c>
      <c r="I32" s="19">
        <f>Galeria!K32</f>
        <v>33.5</v>
      </c>
      <c r="J32" s="19">
        <f>Galeria!L32</f>
        <v>3.25</v>
      </c>
      <c r="K32" s="19">
        <f>Galeria!M32</f>
        <v>1.1000000000000001</v>
      </c>
      <c r="L32" s="19">
        <f>Galeria!N32</f>
        <v>32.75</v>
      </c>
      <c r="M32" s="19">
        <f>Galeria!O32</f>
        <v>32.4</v>
      </c>
      <c r="N32" s="19">
        <f>Galeria!P32</f>
        <v>1.0852713178294617E-2</v>
      </c>
      <c r="O32" s="19">
        <f>Escoamento!G31/1000</f>
        <v>0.6</v>
      </c>
      <c r="P32" s="19">
        <f>Galeria!R32</f>
        <v>0.22368703785996508</v>
      </c>
      <c r="Q32" s="19">
        <f>Escoamento!P31</f>
        <v>2.4029108040515581</v>
      </c>
      <c r="R32" s="19">
        <f>Escoamento!Q31</f>
        <v>7.6170092351719676</v>
      </c>
      <c r="S32" s="38">
        <f>Escoamento!R31</f>
        <v>17.490603265325877</v>
      </c>
    </row>
    <row r="33" spans="2:19" x14ac:dyDescent="0.3">
      <c r="B33" s="55" t="str">
        <f>Galeria!A33</f>
        <v>PV28 - PV29</v>
      </c>
      <c r="C33" s="75">
        <f>Galeria!B33</f>
        <v>31.408100000000001</v>
      </c>
      <c r="D33" s="75">
        <f>Galeria!C33</f>
        <v>1230.3403000000001</v>
      </c>
      <c r="E33" s="75">
        <f>Galeria!D33</f>
        <v>1230.3403000000001</v>
      </c>
      <c r="F33" s="75">
        <f>Galeria!E33</f>
        <v>12.325736644583481</v>
      </c>
      <c r="G33" s="19">
        <f>Galeria!I33</f>
        <v>1.7052378368375483E-2</v>
      </c>
      <c r="H33" s="19">
        <f>Galeria!J33</f>
        <v>42</v>
      </c>
      <c r="I33" s="19">
        <f>Galeria!K33</f>
        <v>42.5</v>
      </c>
      <c r="J33" s="19">
        <f>Galeria!L33</f>
        <v>1.1000000000000001</v>
      </c>
      <c r="K33" s="19">
        <f>Galeria!M33</f>
        <v>1.75</v>
      </c>
      <c r="L33" s="19">
        <f>Galeria!N33</f>
        <v>40.9</v>
      </c>
      <c r="M33" s="19">
        <f>Galeria!O33</f>
        <v>40.75</v>
      </c>
      <c r="N33" s="19">
        <f>Galeria!P33</f>
        <v>4.7758380799856909E-3</v>
      </c>
      <c r="O33" s="19">
        <f>Escoamento!G32/1000</f>
        <v>0.2</v>
      </c>
      <c r="P33" s="19">
        <f>Galeria!R33</f>
        <v>0.65276849023988059</v>
      </c>
      <c r="Q33" s="19">
        <f>Escoamento!P32</f>
        <v>0.80192034566645254</v>
      </c>
      <c r="R33" s="19">
        <f>Escoamento!Q32</f>
        <v>4.4975883293057919</v>
      </c>
      <c r="S33" s="38">
        <f>Escoamento!R32</f>
        <v>2.6835302543913131</v>
      </c>
    </row>
    <row r="34" spans="2:19" x14ac:dyDescent="0.3">
      <c r="B34" s="55" t="str">
        <f>Galeria!A34</f>
        <v>PV29 - PV30</v>
      </c>
      <c r="C34" s="75">
        <f>Galeria!B34</f>
        <v>31.408100000000001</v>
      </c>
      <c r="D34" s="75">
        <f>Galeria!C34</f>
        <v>1527.5829000000001</v>
      </c>
      <c r="E34" s="75">
        <f>Galeria!D34</f>
        <v>2757.9232000000002</v>
      </c>
      <c r="F34" s="75">
        <f>Galeria!E34</f>
        <v>12.978505134823362</v>
      </c>
      <c r="G34" s="19">
        <f>Galeria!I34</f>
        <v>3.7672759883859715E-2</v>
      </c>
      <c r="H34" s="19">
        <f>Galeria!J34</f>
        <v>42.5</v>
      </c>
      <c r="I34" s="19">
        <f>Galeria!K34</f>
        <v>42</v>
      </c>
      <c r="J34" s="19">
        <f>Galeria!L34</f>
        <v>1.75</v>
      </c>
      <c r="K34" s="19">
        <f>Galeria!M34</f>
        <v>1.5</v>
      </c>
      <c r="L34" s="19">
        <f>Galeria!N34</f>
        <v>40.75</v>
      </c>
      <c r="M34" s="19">
        <f>Galeria!O34</f>
        <v>40.5</v>
      </c>
      <c r="N34" s="19">
        <f>Galeria!P34</f>
        <v>7.9597301333095595E-3</v>
      </c>
      <c r="O34" s="19">
        <f>Escoamento!G33/1000</f>
        <v>0.25</v>
      </c>
      <c r="P34" s="19">
        <f>Galeria!R34</f>
        <v>0.45431828279421421</v>
      </c>
      <c r="Q34" s="19">
        <f>Escoamento!P33</f>
        <v>1.1522061804641066</v>
      </c>
      <c r="R34" s="19">
        <f>Escoamento!Q33</f>
        <v>5.0130095733479969</v>
      </c>
      <c r="S34" s="38">
        <f>Escoamento!R33</f>
        <v>5.5563924288635942</v>
      </c>
    </row>
    <row r="35" spans="2:19" x14ac:dyDescent="0.3">
      <c r="B35" s="55" t="str">
        <f>Galeria!A35</f>
        <v>PV30 - PV31</v>
      </c>
      <c r="C35" s="75">
        <f>Galeria!B35</f>
        <v>37.821199999999997</v>
      </c>
      <c r="D35" s="75">
        <f>Galeria!C35</f>
        <v>1724.5001999999999</v>
      </c>
      <c r="E35" s="75">
        <f>Galeria!D35</f>
        <v>4482.4233999999997</v>
      </c>
      <c r="F35" s="75">
        <f>Galeria!E35</f>
        <v>13.432823417617575</v>
      </c>
      <c r="G35" s="19">
        <f>Galeria!I35</f>
        <v>6.0620529778310318E-2</v>
      </c>
      <c r="H35" s="19">
        <f>Galeria!J35</f>
        <v>42</v>
      </c>
      <c r="I35" s="19">
        <f>Galeria!K35</f>
        <v>42</v>
      </c>
      <c r="J35" s="19">
        <f>Galeria!L35</f>
        <v>1.5</v>
      </c>
      <c r="K35" s="19">
        <f>Galeria!M35</f>
        <v>1.75</v>
      </c>
      <c r="L35" s="19">
        <f>Galeria!N35</f>
        <v>40.5</v>
      </c>
      <c r="M35" s="19">
        <f>Galeria!O35</f>
        <v>40.25</v>
      </c>
      <c r="N35" s="19">
        <f>Galeria!P35</f>
        <v>6.6100493902890448E-3</v>
      </c>
      <c r="O35" s="19">
        <f>Escoamento!G34/1000</f>
        <v>0.3</v>
      </c>
      <c r="P35" s="19">
        <f>Galeria!R35</f>
        <v>0.5150384252009883</v>
      </c>
      <c r="Q35" s="19">
        <f>Escoamento!P34</f>
        <v>1.2238957376575244</v>
      </c>
      <c r="R35" s="19">
        <f>Escoamento!Q34</f>
        <v>5.5434090566604901</v>
      </c>
      <c r="S35" s="38">
        <f>Escoamento!R34</f>
        <v>5.6422984936478802</v>
      </c>
    </row>
    <row r="36" spans="2:19" x14ac:dyDescent="0.3">
      <c r="B36" s="55" t="str">
        <f>Galeria!A36</f>
        <v>PV31 - PV32</v>
      </c>
      <c r="C36" s="75">
        <f>Galeria!B36</f>
        <v>37.821199999999997</v>
      </c>
      <c r="D36" s="75">
        <f>Galeria!C36</f>
        <v>1439.1867999999999</v>
      </c>
      <c r="E36" s="75">
        <f>Galeria!D36</f>
        <v>5921.6101999999992</v>
      </c>
      <c r="F36" s="75">
        <f>Galeria!E36</f>
        <v>13.947861842818563</v>
      </c>
      <c r="G36" s="19">
        <f>Galeria!I36</f>
        <v>7.9192301144476576E-2</v>
      </c>
      <c r="H36" s="19">
        <f>Galeria!J36</f>
        <v>42</v>
      </c>
      <c r="I36" s="19">
        <f>Galeria!K36</f>
        <v>41.5</v>
      </c>
      <c r="J36" s="19">
        <f>Galeria!L36</f>
        <v>1.75</v>
      </c>
      <c r="K36" s="19">
        <f>Galeria!M36</f>
        <v>1.5</v>
      </c>
      <c r="L36" s="19">
        <f>Galeria!N36</f>
        <v>40.25</v>
      </c>
      <c r="M36" s="19">
        <f>Galeria!O36</f>
        <v>40</v>
      </c>
      <c r="N36" s="19">
        <f>Galeria!P36</f>
        <v>6.6100493902890448E-3</v>
      </c>
      <c r="O36" s="19">
        <f>Escoamento!G35/1000</f>
        <v>0.375</v>
      </c>
      <c r="P36" s="19">
        <f>Galeria!R36</f>
        <v>0.47665929619305913</v>
      </c>
      <c r="Q36" s="19">
        <f>Escoamento!P35</f>
        <v>1.3224400286908999</v>
      </c>
      <c r="R36" s="19">
        <f>Escoamento!Q35</f>
        <v>5.8691675302609756</v>
      </c>
      <c r="S36" s="38">
        <f>Escoamento!R35</f>
        <v>6.3249226143651871</v>
      </c>
    </row>
    <row r="37" spans="2:19" x14ac:dyDescent="0.3">
      <c r="B37" s="55" t="str">
        <f>Galeria!A37</f>
        <v>PV32 - PV33</v>
      </c>
      <c r="C37" s="75">
        <f>Galeria!B37</f>
        <v>37.821199999999997</v>
      </c>
      <c r="D37" s="75">
        <f>Galeria!C37</f>
        <v>1439.1867999999999</v>
      </c>
      <c r="E37" s="75">
        <f>Galeria!D37</f>
        <v>7360.7969999999987</v>
      </c>
      <c r="F37" s="75">
        <f>Galeria!E37</f>
        <v>14.424521139011622</v>
      </c>
      <c r="G37" s="19">
        <f>Galeria!I37</f>
        <v>9.743550339406111E-2</v>
      </c>
      <c r="H37" s="19">
        <f>Galeria!J37</f>
        <v>41.5</v>
      </c>
      <c r="I37" s="19">
        <f>Galeria!K37</f>
        <v>41</v>
      </c>
      <c r="J37" s="19">
        <f>Galeria!L37</f>
        <v>1.5</v>
      </c>
      <c r="K37" s="19">
        <f>Galeria!M37</f>
        <v>1.1000000000000001</v>
      </c>
      <c r="L37" s="19">
        <f>Galeria!N37</f>
        <v>40</v>
      </c>
      <c r="M37" s="19">
        <f>Galeria!O37</f>
        <v>39.9</v>
      </c>
      <c r="N37" s="19">
        <f>Galeria!P37</f>
        <v>2.6440197561156554E-3</v>
      </c>
      <c r="O37" s="19">
        <f>Escoamento!G36/1000</f>
        <v>0.4</v>
      </c>
      <c r="P37" s="19">
        <f>Galeria!R37</f>
        <v>0.65548566007854125</v>
      </c>
      <c r="Q37" s="19">
        <f>Escoamento!P36</f>
        <v>0.96165846443963932</v>
      </c>
      <c r="R37" s="19">
        <f>Escoamento!Q36</f>
        <v>6.5296083325047736</v>
      </c>
      <c r="S37" s="38">
        <f>Escoamento!R36</f>
        <v>3.1313849387172317</v>
      </c>
    </row>
    <row r="38" spans="2:19" x14ac:dyDescent="0.3">
      <c r="B38" s="55" t="str">
        <f>Galeria!A38</f>
        <v>PV33 - PV34</v>
      </c>
      <c r="C38" s="75">
        <f>Galeria!B38</f>
        <v>37.821199999999997</v>
      </c>
      <c r="D38" s="75">
        <f>Galeria!C38</f>
        <v>1439.1867999999999</v>
      </c>
      <c r="E38" s="75">
        <f>Galeria!D38</f>
        <v>8799.9837999999982</v>
      </c>
      <c r="F38" s="75">
        <f>Galeria!E38</f>
        <v>15.080006799090164</v>
      </c>
      <c r="G38" s="19">
        <f>Galeria!I38</f>
        <v>0.1148764770256351</v>
      </c>
      <c r="H38" s="19">
        <f>Galeria!J38</f>
        <v>41</v>
      </c>
      <c r="I38" s="19">
        <f>Galeria!K38</f>
        <v>41</v>
      </c>
      <c r="J38" s="19">
        <f>Galeria!L38</f>
        <v>1.1000000000000001</v>
      </c>
      <c r="K38" s="19">
        <f>Galeria!M38</f>
        <v>1.2</v>
      </c>
      <c r="L38" s="19">
        <f>Galeria!N38</f>
        <v>39.9</v>
      </c>
      <c r="M38" s="19">
        <f>Galeria!O38</f>
        <v>39.799999999999997</v>
      </c>
      <c r="N38" s="19">
        <f>Galeria!P38</f>
        <v>2.6440197561156554E-3</v>
      </c>
      <c r="O38" s="19">
        <f>Escoamento!G37/1000</f>
        <v>0.45</v>
      </c>
      <c r="P38" s="19">
        <f>Galeria!R38</f>
        <v>0.61913388205506348</v>
      </c>
      <c r="Q38" s="19">
        <f>Escoamento!P37</f>
        <v>1.0181212038356382</v>
      </c>
      <c r="R38" s="19">
        <f>Escoamento!Q37</f>
        <v>6.8039159155989637</v>
      </c>
      <c r="S38" s="38">
        <f>Escoamento!R37</f>
        <v>3.4000090327457109</v>
      </c>
    </row>
    <row r="39" spans="2:19" x14ac:dyDescent="0.3">
      <c r="B39" s="55" t="str">
        <f>Galeria!A39</f>
        <v>PV34 - PV35</v>
      </c>
      <c r="C39" s="75">
        <f>Galeria!B39</f>
        <v>44.785299999999999</v>
      </c>
      <c r="D39" s="75">
        <f>Galeria!C39</f>
        <v>1116.1051</v>
      </c>
      <c r="E39" s="75">
        <f>Galeria!D39</f>
        <v>8476.9020999999993</v>
      </c>
      <c r="F39" s="75">
        <f>Galeria!E39</f>
        <v>15.699140681145227</v>
      </c>
      <c r="G39" s="19">
        <f>Galeria!I39</f>
        <v>0.10923417812341694</v>
      </c>
      <c r="H39" s="19">
        <f>Galeria!J39</f>
        <v>41</v>
      </c>
      <c r="I39" s="19">
        <f>Galeria!K39</f>
        <v>41.5</v>
      </c>
      <c r="J39" s="19">
        <f>Galeria!L39</f>
        <v>1.2</v>
      </c>
      <c r="K39" s="19">
        <f>Galeria!M39</f>
        <v>1.75</v>
      </c>
      <c r="L39" s="19">
        <f>Galeria!N39</f>
        <v>39.799999999999997</v>
      </c>
      <c r="M39" s="19">
        <f>Galeria!O39</f>
        <v>39.75</v>
      </c>
      <c r="N39" s="19">
        <f>Galeria!P39</f>
        <v>1.1164377597112703E-3</v>
      </c>
      <c r="O39" s="19">
        <f>Escoamento!G38/1000</f>
        <v>0.5</v>
      </c>
      <c r="P39" s="19">
        <f>Galeria!R39</f>
        <v>1.0351342569068471</v>
      </c>
      <c r="Q39" s="19">
        <f>Escoamento!P38</f>
        <v>0.72108681717973322</v>
      </c>
      <c r="R39" s="19">
        <f>Escoamento!Q38</f>
        <v>7.2639761491211878</v>
      </c>
      <c r="S39" s="38">
        <f>Escoamento!R38</f>
        <v>1.6363674605717125</v>
      </c>
    </row>
    <row r="40" spans="2:19" x14ac:dyDescent="0.3">
      <c r="B40" s="55" t="str">
        <f>Galeria!A40</f>
        <v>PV35 - PV36</v>
      </c>
      <c r="C40" s="75">
        <f>Galeria!B40</f>
        <v>44.785299999999999</v>
      </c>
      <c r="D40" s="75">
        <f>Galeria!C40</f>
        <v>1444.2166999999999</v>
      </c>
      <c r="E40" s="75">
        <f>Galeria!D40</f>
        <v>9921.1188000000002</v>
      </c>
      <c r="F40" s="75">
        <f>Galeria!E40</f>
        <v>16.734274938052074</v>
      </c>
      <c r="G40" s="19">
        <f>Galeria!I40</f>
        <v>0.12515290257861225</v>
      </c>
      <c r="H40" s="19">
        <f>Galeria!J40</f>
        <v>41.5</v>
      </c>
      <c r="I40" s="19">
        <f>Galeria!K40</f>
        <v>41.5</v>
      </c>
      <c r="J40" s="19">
        <f>Galeria!L40</f>
        <v>1.75</v>
      </c>
      <c r="K40" s="19">
        <f>Galeria!M40</f>
        <v>2</v>
      </c>
      <c r="L40" s="19">
        <f>Galeria!N40</f>
        <v>39.75</v>
      </c>
      <c r="M40" s="19">
        <f>Galeria!O40</f>
        <v>39.5</v>
      </c>
      <c r="N40" s="19">
        <f>Galeria!P40</f>
        <v>5.5821887985566697E-3</v>
      </c>
      <c r="O40" s="19">
        <f>Escoamento!G39/1000</f>
        <v>0.375</v>
      </c>
      <c r="P40" s="19">
        <f>Galeria!R40</f>
        <v>0.55495105363590469</v>
      </c>
      <c r="Q40" s="19">
        <f>Escoamento!P39</f>
        <v>1.3450225236555422</v>
      </c>
      <c r="R40" s="19">
        <f>Escoamento!Q39</f>
        <v>6.3428764171545424</v>
      </c>
      <c r="S40" s="38">
        <f>Escoamento!R39</f>
        <v>6.2384187016373494</v>
      </c>
    </row>
    <row r="41" spans="2:19" x14ac:dyDescent="0.3">
      <c r="B41" s="55" t="str">
        <f>Galeria!A41</f>
        <v>PV36 - PV37</v>
      </c>
      <c r="C41" s="75">
        <f>Galeria!B41</f>
        <v>44.82405</v>
      </c>
      <c r="D41" s="75">
        <f>Galeria!C41</f>
        <v>1275.4422</v>
      </c>
      <c r="E41" s="75">
        <f>Galeria!D41</f>
        <v>11196.561</v>
      </c>
      <c r="F41" s="75">
        <f>Galeria!E41</f>
        <v>17.289225991687978</v>
      </c>
      <c r="G41" s="19">
        <f>Galeria!I41</f>
        <v>0.13966724450089696</v>
      </c>
      <c r="H41" s="19">
        <f>Galeria!J41</f>
        <v>41.5</v>
      </c>
      <c r="I41" s="19">
        <f>Galeria!K41</f>
        <v>41</v>
      </c>
      <c r="J41" s="19">
        <f>Galeria!L41</f>
        <v>2</v>
      </c>
      <c r="K41" s="19">
        <f>Galeria!M41</f>
        <v>1.75</v>
      </c>
      <c r="L41" s="19">
        <f>Galeria!N41</f>
        <v>39.5</v>
      </c>
      <c r="M41" s="19">
        <f>Galeria!O41</f>
        <v>39.25</v>
      </c>
      <c r="N41" s="19">
        <f>Galeria!P41</f>
        <v>5.577363045061747E-3</v>
      </c>
      <c r="O41" s="19">
        <f>Escoamento!G40/1000</f>
        <v>0.4</v>
      </c>
      <c r="P41" s="19">
        <f>Galeria!R41</f>
        <v>0.53522934615169926</v>
      </c>
      <c r="Q41" s="19">
        <f>Escoamento!P40</f>
        <v>1.3957894972901201</v>
      </c>
      <c r="R41" s="19">
        <f>Escoamento!Q40</f>
        <v>6.5213699793548923</v>
      </c>
      <c r="S41" s="38">
        <f>Escoamento!R40</f>
        <v>6.5887661509017583</v>
      </c>
    </row>
    <row r="42" spans="2:19" x14ac:dyDescent="0.3">
      <c r="B42" s="55" t="str">
        <f>Galeria!A42</f>
        <v>PV37 - PV38</v>
      </c>
      <c r="C42" s="75">
        <f>Galeria!B42</f>
        <v>44.82405</v>
      </c>
      <c r="D42" s="75">
        <f>Galeria!C42</f>
        <v>1439.5621000000001</v>
      </c>
      <c r="E42" s="75">
        <f>Galeria!D42</f>
        <v>12636.123100000001</v>
      </c>
      <c r="F42" s="75">
        <f>Galeria!E42</f>
        <v>17.824455337839677</v>
      </c>
      <c r="G42" s="19">
        <f>Galeria!I42</f>
        <v>0.15594818588404188</v>
      </c>
      <c r="H42" s="19">
        <f>Galeria!J42</f>
        <v>41</v>
      </c>
      <c r="I42" s="19">
        <f>Galeria!K42</f>
        <v>40</v>
      </c>
      <c r="J42" s="19">
        <f>Galeria!L42</f>
        <v>1.75</v>
      </c>
      <c r="K42" s="19">
        <f>Galeria!M42</f>
        <v>1.1000000000000001</v>
      </c>
      <c r="L42" s="19">
        <f>Galeria!N42</f>
        <v>39.25</v>
      </c>
      <c r="M42" s="19">
        <f>Galeria!O42</f>
        <v>38.9</v>
      </c>
      <c r="N42" s="19">
        <f>Galeria!P42</f>
        <v>7.8083082630864779E-3</v>
      </c>
      <c r="O42" s="19">
        <f>Escoamento!G41/1000</f>
        <v>0.4</v>
      </c>
      <c r="P42" s="19">
        <f>Galeria!R42</f>
        <v>0.4546385461401049</v>
      </c>
      <c r="Q42" s="19">
        <f>Escoamento!P41</f>
        <v>1.64321196771067</v>
      </c>
      <c r="R42" s="19">
        <f>Escoamento!Q41</f>
        <v>6.4783432182672147</v>
      </c>
      <c r="S42" s="38">
        <f>Escoamento!R41</f>
        <v>9.1029541549335331</v>
      </c>
    </row>
    <row r="43" spans="2:19" x14ac:dyDescent="0.3">
      <c r="B43" s="55" t="str">
        <f>Galeria!A43</f>
        <v>PV38 - PV39</v>
      </c>
      <c r="C43" s="75">
        <f>Galeria!B43</f>
        <v>45.830199999999998</v>
      </c>
      <c r="D43" s="75">
        <f>Galeria!C43</f>
        <v>1411.6223666666667</v>
      </c>
      <c r="E43" s="75">
        <f>Galeria!D43</f>
        <v>14047.745466666667</v>
      </c>
      <c r="F43" s="75">
        <f>Galeria!E43</f>
        <v>18.279093883979783</v>
      </c>
      <c r="G43" s="19">
        <f>Galeria!I43</f>
        <v>0.171818326424546</v>
      </c>
      <c r="H43" s="19">
        <f>Galeria!J43</f>
        <v>40</v>
      </c>
      <c r="I43" s="19">
        <f>Galeria!K43</f>
        <v>37</v>
      </c>
      <c r="J43" s="19">
        <f>Galeria!L43</f>
        <v>1.1000000000000001</v>
      </c>
      <c r="K43" s="19">
        <f>Galeria!M43</f>
        <v>1.1000000000000001</v>
      </c>
      <c r="L43" s="19">
        <f>Galeria!N43</f>
        <v>38.9</v>
      </c>
      <c r="M43" s="19">
        <f>Galeria!O43</f>
        <v>35.9</v>
      </c>
      <c r="N43" s="19">
        <f>Galeria!P43</f>
        <v>6.5459020471217669E-2</v>
      </c>
      <c r="O43" s="19">
        <f>Escoamento!G42/1000</f>
        <v>0.3</v>
      </c>
      <c r="P43" s="19">
        <f>Galeria!R43</f>
        <v>0.20198322055928333</v>
      </c>
      <c r="Q43" s="19">
        <f>Escoamento!P42</f>
        <v>3.7816837683429045</v>
      </c>
      <c r="R43" s="19">
        <f>Escoamento!Q42</f>
        <v>5.4526223775553149</v>
      </c>
      <c r="S43" s="38">
        <f>Escoamento!R42</f>
        <v>54.060224466648926</v>
      </c>
    </row>
    <row r="44" spans="2:19" x14ac:dyDescent="0.3">
      <c r="B44" s="55" t="str">
        <f>Galeria!A44</f>
        <v>PV39 - PV40</v>
      </c>
      <c r="C44" s="75">
        <f>Galeria!B44</f>
        <v>45.830199999999998</v>
      </c>
      <c r="D44" s="75">
        <f>Galeria!C44</f>
        <v>1301.4456666666665</v>
      </c>
      <c r="E44" s="75">
        <f>Galeria!D44</f>
        <v>15349.191133333334</v>
      </c>
      <c r="F44" s="75">
        <f>Galeria!E44</f>
        <v>18.481077104539068</v>
      </c>
      <c r="G44" s="19">
        <f>Galeria!I44</f>
        <v>0.18699321866490518</v>
      </c>
      <c r="H44" s="19">
        <f>Galeria!J44</f>
        <v>37</v>
      </c>
      <c r="I44" s="19">
        <f>Galeria!K44</f>
        <v>32.5</v>
      </c>
      <c r="J44" s="19">
        <f>Galeria!L44</f>
        <v>1.1000000000000001</v>
      </c>
      <c r="K44" s="19">
        <f>Galeria!M44</f>
        <v>1.1000000000000001</v>
      </c>
      <c r="L44" s="19">
        <f>Galeria!N44</f>
        <v>35.9</v>
      </c>
      <c r="M44" s="19">
        <f>Galeria!O44</f>
        <v>31.4</v>
      </c>
      <c r="N44" s="19">
        <f>Galeria!P44</f>
        <v>9.818853070682651E-2</v>
      </c>
      <c r="O44" s="19">
        <f>Escoamento!G43/1000</f>
        <v>0.3</v>
      </c>
      <c r="P44" s="19">
        <f>Galeria!R44</f>
        <v>0.16941140014569195</v>
      </c>
      <c r="Q44" s="19">
        <f>Escoamento!P43</f>
        <v>4.5087678043495032</v>
      </c>
      <c r="R44" s="19">
        <f>Escoamento!Q43</f>
        <v>5.3466318846266381</v>
      </c>
      <c r="S44" s="38">
        <f>Escoamento!R43</f>
        <v>77.96843705053162</v>
      </c>
    </row>
    <row r="45" spans="2:19" x14ac:dyDescent="0.3">
      <c r="B45" s="55" t="str">
        <f>Galeria!A45</f>
        <v>PV42 - PV43</v>
      </c>
      <c r="C45" s="75">
        <f>Galeria!B45</f>
        <v>39.050199999999997</v>
      </c>
      <c r="D45" s="75">
        <f>Galeria!C45</f>
        <v>8152.4519999999993</v>
      </c>
      <c r="E45" s="75">
        <f>Galeria!D45</f>
        <v>8152.4519999999993</v>
      </c>
      <c r="F45" s="75">
        <f>Galeria!E45</f>
        <v>18.650488504684759</v>
      </c>
      <c r="G45" s="19">
        <f>Galeria!I45</f>
        <v>9.8989564876618474E-2</v>
      </c>
      <c r="H45" s="19">
        <f>Galeria!J45</f>
        <v>39.5</v>
      </c>
      <c r="I45" s="19">
        <f>Galeria!K45</f>
        <v>36</v>
      </c>
      <c r="J45" s="19">
        <f>Galeria!L45</f>
        <v>1.1000000000000001</v>
      </c>
      <c r="K45" s="19">
        <f>Galeria!M45</f>
        <v>1.1000000000000001</v>
      </c>
      <c r="L45" s="19">
        <f>Galeria!N45</f>
        <v>38.4</v>
      </c>
      <c r="M45" s="19">
        <f>Galeria!O45</f>
        <v>34.9</v>
      </c>
      <c r="N45" s="19">
        <f>Galeria!P45</f>
        <v>8.9628222134585753E-2</v>
      </c>
      <c r="O45" s="19">
        <f>Escoamento!G44/1000</f>
        <v>0.25</v>
      </c>
      <c r="P45" s="19">
        <f>Galeria!R45</f>
        <v>0.1747431237646041</v>
      </c>
      <c r="Q45" s="19">
        <f>Escoamento!P44</f>
        <v>3.7245337764672595</v>
      </c>
      <c r="R45" s="19">
        <f>Escoamento!Q44</f>
        <v>4.7905557954015148</v>
      </c>
      <c r="S45" s="38">
        <f>Escoamento!R44</f>
        <v>57.136559622822155</v>
      </c>
    </row>
    <row r="46" spans="2:19" x14ac:dyDescent="0.3">
      <c r="B46" s="55" t="str">
        <f>Galeria!A46</f>
        <v>PV43 - PV44</v>
      </c>
      <c r="C46" s="75">
        <f>Galeria!B46</f>
        <v>39.050199999999997</v>
      </c>
      <c r="D46" s="75">
        <f>Galeria!C46</f>
        <v>1247.0882999999999</v>
      </c>
      <c r="E46" s="75">
        <f>Galeria!D46</f>
        <v>9399.5402999999988</v>
      </c>
      <c r="F46" s="75">
        <f>Galeria!E46</f>
        <v>18.825231628449362</v>
      </c>
      <c r="G46" s="19">
        <f>Galeria!I46</f>
        <v>0.11374400802617876</v>
      </c>
      <c r="H46" s="19">
        <f>Galeria!J46</f>
        <v>36</v>
      </c>
      <c r="I46" s="19">
        <f>Galeria!K46</f>
        <v>30</v>
      </c>
      <c r="J46" s="19">
        <f>Galeria!L46</f>
        <v>1.1000000000000001</v>
      </c>
      <c r="K46" s="19">
        <f>Galeria!M46</f>
        <v>1.1000000000000001</v>
      </c>
      <c r="L46" s="19">
        <f>Galeria!N46</f>
        <v>34.9</v>
      </c>
      <c r="M46" s="19">
        <f>Galeria!O46</f>
        <v>28.9</v>
      </c>
      <c r="N46" s="19">
        <f>Galeria!P46</f>
        <v>0.15364838080214699</v>
      </c>
      <c r="O46" s="19">
        <f>Escoamento!G45/1000</f>
        <v>0.2</v>
      </c>
      <c r="P46" s="19">
        <f>Galeria!R46</f>
        <v>0.14127685341193094</v>
      </c>
      <c r="Q46" s="19">
        <f>Escoamento!P45</f>
        <v>4.6068174010711855</v>
      </c>
      <c r="R46" s="19">
        <f>Escoamento!Q45</f>
        <v>4.6045867529253677</v>
      </c>
      <c r="S46" s="38">
        <f>Escoamento!R45</f>
        <v>90.491295670768153</v>
      </c>
    </row>
    <row r="47" spans="2:19" x14ac:dyDescent="0.3">
      <c r="B47" s="55" t="str">
        <f>Galeria!A47</f>
        <v>PV44 - PV45</v>
      </c>
      <c r="C47" s="75">
        <f>Galeria!B47</f>
        <v>26.0167</v>
      </c>
      <c r="D47" s="75">
        <f>Galeria!C47</f>
        <v>769.87920000000008</v>
      </c>
      <c r="E47" s="75">
        <f>Galeria!D47</f>
        <v>10169.419499999998</v>
      </c>
      <c r="F47" s="75">
        <f>Galeria!E47</f>
        <v>18.966508481861293</v>
      </c>
      <c r="G47" s="19">
        <f>Galeria!I47</f>
        <v>0.12272300802832339</v>
      </c>
      <c r="H47" s="19">
        <f>Galeria!J47</f>
        <v>30</v>
      </c>
      <c r="I47" s="19">
        <f>Galeria!K47</f>
        <v>32.5</v>
      </c>
      <c r="J47" s="19">
        <f>Galeria!L47</f>
        <v>1.1000000000000001</v>
      </c>
      <c r="K47" s="19">
        <f>Galeria!M47</f>
        <v>3.75</v>
      </c>
      <c r="L47" s="19">
        <f>Galeria!N47</f>
        <v>28.9</v>
      </c>
      <c r="M47" s="19">
        <f>Galeria!O47</f>
        <v>28.75</v>
      </c>
      <c r="N47" s="19">
        <f>Galeria!P47</f>
        <v>5.7655275265501996E-3</v>
      </c>
      <c r="O47" s="19">
        <f>Escoamento!G46/1000</f>
        <v>0.375</v>
      </c>
      <c r="P47" s="19">
        <f>Galeria!R47</f>
        <v>0.31795550098186642</v>
      </c>
      <c r="Q47" s="19">
        <f>Escoamento!P46</f>
        <v>1.363749535163401</v>
      </c>
      <c r="R47" s="19">
        <f>Escoamento!Q46</f>
        <v>6.3283071732459728</v>
      </c>
      <c r="S47" s="38">
        <f>Escoamento!R46</f>
        <v>6.4137444537156352</v>
      </c>
    </row>
    <row r="48" spans="2:19" x14ac:dyDescent="0.3">
      <c r="B48" s="55" t="str">
        <f>Galeria!A48</f>
        <v>PV45 - PV46</v>
      </c>
      <c r="C48" s="75">
        <f>Galeria!B48</f>
        <v>26.0167</v>
      </c>
      <c r="D48" s="75">
        <f>Galeria!C48</f>
        <v>5641.9260999999997</v>
      </c>
      <c r="E48" s="75">
        <f>Galeria!D48</f>
        <v>15811.345599999997</v>
      </c>
      <c r="F48" s="75">
        <f>Galeria!E48</f>
        <v>19.28446398284316</v>
      </c>
      <c r="G48" s="19">
        <f>Galeria!I48</f>
        <v>0.18963928348754347</v>
      </c>
      <c r="H48" s="19">
        <f>Galeria!J48</f>
        <v>32.5</v>
      </c>
      <c r="I48" s="19">
        <f>Galeria!K48</f>
        <v>31.5</v>
      </c>
      <c r="J48" s="19">
        <f>Galeria!L48</f>
        <v>3.75</v>
      </c>
      <c r="K48" s="19">
        <f>Galeria!M48</f>
        <v>3</v>
      </c>
      <c r="L48" s="19">
        <f>Galeria!N48</f>
        <v>28.75</v>
      </c>
      <c r="M48" s="19">
        <f>Galeria!O48</f>
        <v>28.5</v>
      </c>
      <c r="N48" s="19">
        <f>Galeria!P48</f>
        <v>9.6092125442504232E-3</v>
      </c>
      <c r="O48" s="19">
        <f>Escoamento!G47/1000</f>
        <v>0.4</v>
      </c>
      <c r="P48" s="19">
        <f>Galeria!R48</f>
        <v>0.23592975234811214</v>
      </c>
      <c r="Q48" s="19">
        <f>Escoamento!P47</f>
        <v>1.837884634519841</v>
      </c>
      <c r="R48" s="19">
        <f>Escoamento!Q47</f>
        <v>6.5400224786123013</v>
      </c>
      <c r="S48" s="38">
        <f>Escoamento!R47</f>
        <v>11.416783904599464</v>
      </c>
    </row>
    <row r="49" spans="2:19" x14ac:dyDescent="0.3">
      <c r="B49" s="55" t="str">
        <f>Galeria!A49</f>
        <v>PV46 - PV47</v>
      </c>
      <c r="C49" s="75">
        <f>Galeria!B49</f>
        <v>28.320399999999999</v>
      </c>
      <c r="D49" s="75">
        <f>Galeria!C49</f>
        <v>1591.2661000000001</v>
      </c>
      <c r="E49" s="75">
        <f>Galeria!D49</f>
        <v>17402.611699999998</v>
      </c>
      <c r="F49" s="75">
        <f>Galeria!E49</f>
        <v>19.520393735191274</v>
      </c>
      <c r="G49" s="19">
        <f>Galeria!I49</f>
        <v>0.20777991071643279</v>
      </c>
      <c r="H49" s="19">
        <f>Galeria!J49</f>
        <v>31.5</v>
      </c>
      <c r="I49" s="19">
        <f>Galeria!K49</f>
        <v>30.5</v>
      </c>
      <c r="J49" s="19">
        <f>Galeria!L49</f>
        <v>3</v>
      </c>
      <c r="K49" s="19">
        <f>Galeria!M49</f>
        <v>2.25</v>
      </c>
      <c r="L49" s="19">
        <f>Galeria!N49</f>
        <v>28.5</v>
      </c>
      <c r="M49" s="19">
        <f>Galeria!O49</f>
        <v>28.25</v>
      </c>
      <c r="N49" s="19">
        <f>Galeria!P49</f>
        <v>8.8275589327834348E-3</v>
      </c>
      <c r="O49" s="19">
        <f>Escoamento!G48/1000</f>
        <v>0.45</v>
      </c>
      <c r="P49" s="19">
        <f>Galeria!R49</f>
        <v>0.25395297079470752</v>
      </c>
      <c r="Q49" s="19">
        <f>Escoamento!P48</f>
        <v>1.8586380981864199</v>
      </c>
      <c r="R49" s="19">
        <f>Escoamento!Q48</f>
        <v>6.7929810835365956</v>
      </c>
      <c r="S49" s="38">
        <f>Escoamento!R48</f>
        <v>11.315114036683317</v>
      </c>
    </row>
    <row r="50" spans="2:19" x14ac:dyDescent="0.3">
      <c r="B50" s="55" t="str">
        <f>Galeria!A50</f>
        <v>PV47 - PV48</v>
      </c>
      <c r="C50" s="75">
        <f>Galeria!B50</f>
        <v>28.320399999999999</v>
      </c>
      <c r="D50" s="75">
        <f>Galeria!C50</f>
        <v>3064.7073666666665</v>
      </c>
      <c r="E50" s="75">
        <f>Galeria!D50</f>
        <v>20467.319066666663</v>
      </c>
      <c r="F50" s="75">
        <f>Galeria!E50</f>
        <v>19.77434670598598</v>
      </c>
      <c r="G50" s="19">
        <f>Galeria!I50</f>
        <v>0.24318662172251007</v>
      </c>
      <c r="H50" s="19">
        <f>Galeria!J50</f>
        <v>30.5</v>
      </c>
      <c r="I50" s="19">
        <f>Galeria!K50</f>
        <v>31</v>
      </c>
      <c r="J50" s="19">
        <f>Galeria!L50</f>
        <v>2.25</v>
      </c>
      <c r="K50" s="19">
        <f>Galeria!M50</f>
        <v>3</v>
      </c>
      <c r="L50" s="19">
        <f>Galeria!N50</f>
        <v>28.25</v>
      </c>
      <c r="M50" s="19">
        <f>Galeria!O50</f>
        <v>28</v>
      </c>
      <c r="N50" s="19">
        <f>Galeria!P50</f>
        <v>8.8275589327834348E-3</v>
      </c>
      <c r="O50" s="19">
        <f>Escoamento!G49/1000</f>
        <v>0.45</v>
      </c>
      <c r="P50" s="19">
        <f>Galeria!R50</f>
        <v>0.24822215768082062</v>
      </c>
      <c r="Q50" s="19">
        <f>Escoamento!P49</f>
        <v>1.9015492858361258</v>
      </c>
      <c r="R50" s="19">
        <f>Escoamento!Q49</f>
        <v>6.9238869547246171</v>
      </c>
      <c r="S50" s="38">
        <f>Escoamento!R49</f>
        <v>11.755417610677414</v>
      </c>
    </row>
    <row r="51" spans="2:19" x14ac:dyDescent="0.3">
      <c r="B51" s="55" t="str">
        <f>Galeria!A51</f>
        <v>PV48 - PV49</v>
      </c>
      <c r="C51" s="75">
        <f>Galeria!B51</f>
        <v>28.294599999999999</v>
      </c>
      <c r="D51" s="75">
        <f>Galeria!C51</f>
        <v>1741.4983</v>
      </c>
      <c r="E51" s="75">
        <f>Galeria!D51</f>
        <v>22208.817366666663</v>
      </c>
      <c r="F51" s="75">
        <f>Galeria!E51</f>
        <v>20.022568863666802</v>
      </c>
      <c r="G51" s="19">
        <f>Galeria!I51</f>
        <v>0.2626344857687774</v>
      </c>
      <c r="H51" s="19">
        <f>Galeria!J51</f>
        <v>31</v>
      </c>
      <c r="I51" s="19">
        <f>Galeria!K51</f>
        <v>32</v>
      </c>
      <c r="J51" s="19">
        <f>Galeria!L51</f>
        <v>3</v>
      </c>
      <c r="K51" s="19">
        <f>Galeria!M51</f>
        <v>4.25</v>
      </c>
      <c r="L51" s="19">
        <f>Galeria!N51</f>
        <v>28</v>
      </c>
      <c r="M51" s="19">
        <f>Galeria!O51</f>
        <v>27.75</v>
      </c>
      <c r="N51" s="19">
        <f>Galeria!P51</f>
        <v>8.8356082079266013E-3</v>
      </c>
      <c r="O51" s="19">
        <f>Escoamento!G50/1000</f>
        <v>0.45</v>
      </c>
      <c r="P51" s="19">
        <f>Galeria!R51</f>
        <v>0.24502228685441205</v>
      </c>
      <c r="Q51" s="19">
        <f>Escoamento!P50</f>
        <v>1.9246276439615031</v>
      </c>
      <c r="R51" s="19">
        <f>Escoamento!Q50</f>
        <v>6.9529889934598437</v>
      </c>
      <c r="S51" s="38">
        <f>Escoamento!R50</f>
        <v>11.865253819332459</v>
      </c>
    </row>
    <row r="52" spans="2:19" x14ac:dyDescent="0.3">
      <c r="B52" s="55" t="str">
        <f>Galeria!A52</f>
        <v>PV49 - PV40</v>
      </c>
      <c r="C52" s="75">
        <f>Galeria!B52</f>
        <v>28.294599999999999</v>
      </c>
      <c r="D52" s="75">
        <f>Galeria!C52</f>
        <v>1877.5291999999999</v>
      </c>
      <c r="E52" s="75">
        <f>Galeria!D52</f>
        <v>24086.346566666663</v>
      </c>
      <c r="F52" s="75">
        <f>Galeria!E52</f>
        <v>20.267591150521213</v>
      </c>
      <c r="G52" s="19">
        <f>Galeria!I52</f>
        <v>0.28351841380037185</v>
      </c>
      <c r="H52" s="19">
        <f>Galeria!J52</f>
        <v>32</v>
      </c>
      <c r="I52" s="19">
        <f>Galeria!K52</f>
        <v>32.5</v>
      </c>
      <c r="J52" s="19">
        <f>Galeria!L52</f>
        <v>4.25</v>
      </c>
      <c r="K52" s="19">
        <f>Galeria!M52</f>
        <v>5</v>
      </c>
      <c r="L52" s="19">
        <f>Galeria!N52</f>
        <v>27.75</v>
      </c>
      <c r="M52" s="19">
        <f>Galeria!O52</f>
        <v>27.5</v>
      </c>
      <c r="N52" s="19">
        <f>Galeria!P52</f>
        <v>8.8356082079266013E-3</v>
      </c>
      <c r="O52" s="19">
        <f>Escoamento!G51/1000</f>
        <v>0.5</v>
      </c>
      <c r="P52" s="19">
        <f>Galeria!R52</f>
        <v>0.23520257898940863</v>
      </c>
      <c r="Q52" s="19">
        <f>Escoamento!P51</f>
        <v>2.0049808496696038</v>
      </c>
      <c r="R52" s="19">
        <f>Escoamento!Q51</f>
        <v>7.190152161748717</v>
      </c>
      <c r="S52" s="38">
        <f>Escoamento!R51</f>
        <v>12.688494965347662</v>
      </c>
    </row>
    <row r="53" spans="2:19" x14ac:dyDescent="0.3">
      <c r="B53" s="55" t="str">
        <f>Galeria!A53</f>
        <v>PV40 - PV41</v>
      </c>
      <c r="C53" s="75">
        <f>Galeria!B53</f>
        <v>24.656949999999998</v>
      </c>
      <c r="D53" s="75">
        <f>Galeria!C53</f>
        <v>1760.5592999999999</v>
      </c>
      <c r="E53" s="75">
        <f>Galeria!D53</f>
        <v>17109.750433333335</v>
      </c>
      <c r="F53" s="75">
        <f>Galeria!E53</f>
        <v>20.502793729510621</v>
      </c>
      <c r="G53" s="19">
        <f>Galeria!I53</f>
        <v>0.20050631332492902</v>
      </c>
      <c r="H53" s="19">
        <f>Galeria!J53</f>
        <v>32.5</v>
      </c>
      <c r="I53" s="19">
        <f>Galeria!K53</f>
        <v>33.5</v>
      </c>
      <c r="J53" s="19">
        <f>Galeria!L53</f>
        <v>5</v>
      </c>
      <c r="K53" s="19">
        <f>Galeria!M53</f>
        <v>6.25</v>
      </c>
      <c r="L53" s="19">
        <f>Galeria!N53</f>
        <v>27.5</v>
      </c>
      <c r="M53" s="19">
        <f>Galeria!O53</f>
        <v>27.25</v>
      </c>
      <c r="N53" s="19">
        <f>Galeria!P53</f>
        <v>1.0139129129920774E-2</v>
      </c>
      <c r="O53" s="19">
        <f>Escoamento!G52/1000</f>
        <v>0.4</v>
      </c>
      <c r="P53" s="19">
        <f>Galeria!R53</f>
        <v>0.21621942050911233</v>
      </c>
      <c r="Q53" s="19">
        <f>Escoamento!P52</f>
        <v>1.900611729043773</v>
      </c>
      <c r="R53" s="19">
        <f>Escoamento!Q52</f>
        <v>6.54969754258296</v>
      </c>
      <c r="S53" s="38">
        <f>Escoamento!R52</f>
        <v>12.082050423499389</v>
      </c>
    </row>
    <row r="54" spans="2:19" x14ac:dyDescent="0.3">
      <c r="B54" s="55" t="str">
        <f>Galeria!A54</f>
        <v>PV41 - PV23</v>
      </c>
      <c r="C54" s="75">
        <f>Galeria!B54</f>
        <v>24.656949999999998</v>
      </c>
      <c r="D54" s="75">
        <f>Galeria!C54</f>
        <v>2116.3002999999999</v>
      </c>
      <c r="E54" s="75">
        <f>Galeria!D54</f>
        <v>48806.498033333337</v>
      </c>
      <c r="F54" s="75">
        <f>Galeria!E54</f>
        <v>20.719013150019734</v>
      </c>
      <c r="G54" s="19">
        <f>Galeria!I54</f>
        <v>0.56963858917040411</v>
      </c>
      <c r="H54" s="19">
        <f>Galeria!J54</f>
        <v>33.5</v>
      </c>
      <c r="I54" s="19">
        <f>Galeria!K54</f>
        <v>33.5</v>
      </c>
      <c r="J54" s="19">
        <f>Galeria!L54</f>
        <v>6.25</v>
      </c>
      <c r="K54" s="19">
        <f>Galeria!M54</f>
        <v>6.5</v>
      </c>
      <c r="L54" s="19">
        <f>Galeria!N54</f>
        <v>27.25</v>
      </c>
      <c r="M54" s="19">
        <f>Galeria!O54</f>
        <v>27</v>
      </c>
      <c r="N54" s="19">
        <f>Galeria!P54</f>
        <v>1.0139129129920774E-2</v>
      </c>
      <c r="O54" s="19">
        <f>Escoamento!G53/1000</f>
        <v>0.6</v>
      </c>
      <c r="P54" s="19">
        <f>Galeria!R54</f>
        <v>0.16557648557633789</v>
      </c>
      <c r="Q54" s="19">
        <f>Escoamento!P53</f>
        <v>2.4819295157536208</v>
      </c>
      <c r="R54" s="19">
        <f>Escoamento!Q53</f>
        <v>8.0021157006070993</v>
      </c>
      <c r="S54" s="38">
        <f>Escoamento!R53</f>
        <v>18.034653652391064</v>
      </c>
    </row>
    <row r="55" spans="2:19" x14ac:dyDescent="0.3">
      <c r="B55" s="55" t="str">
        <f>Galeria!A55</f>
        <v>PV23 - Des.</v>
      </c>
      <c r="C55" s="75">
        <f>Galeria!B55</f>
        <v>63.424700000000001</v>
      </c>
      <c r="D55" s="75">
        <f>Galeria!C55</f>
        <v>0</v>
      </c>
      <c r="E55" s="75">
        <f>Galeria!D55</f>
        <v>48806.498033333337</v>
      </c>
      <c r="F55" s="75">
        <f>Galeria!E55</f>
        <v>20.884589635596072</v>
      </c>
      <c r="G55" s="19">
        <f>Galeria!I55</f>
        <v>0.56787754292986403</v>
      </c>
      <c r="H55" s="19">
        <f>Galeria!J55</f>
        <v>33.5</v>
      </c>
      <c r="I55" s="19">
        <f>Galeria!K55</f>
        <v>33</v>
      </c>
      <c r="J55" s="19">
        <f>Galeria!L55</f>
        <v>6.5</v>
      </c>
      <c r="K55" s="19">
        <f>Galeria!M55</f>
        <v>7</v>
      </c>
      <c r="L55" s="19">
        <f>Galeria!N55</f>
        <v>27</v>
      </c>
      <c r="M55" s="19">
        <f>Galeria!O55</f>
        <v>26</v>
      </c>
      <c r="N55" s="19">
        <f>Galeria!P55</f>
        <v>1.5766728104350512E-2</v>
      </c>
      <c r="O55" s="19">
        <f>Escoamento!G54/1000</f>
        <v>0.6</v>
      </c>
      <c r="P55" s="19">
        <f>Galeria!R55</f>
        <v>0.35410279813534223</v>
      </c>
      <c r="Q55" s="19">
        <f>Escoamento!P54</f>
        <v>2.9852301052117234</v>
      </c>
      <c r="R55" s="19">
        <f>Escoamento!Q54</f>
        <v>7.7811330482217507</v>
      </c>
      <c r="S55" s="38">
        <f>Escoamento!R54</f>
        <v>26.517022685575128</v>
      </c>
    </row>
  </sheetData>
  <mergeCells count="7">
    <mergeCell ref="B4:S4"/>
    <mergeCell ref="F1:I1"/>
    <mergeCell ref="L5:M5"/>
    <mergeCell ref="J5:K5"/>
    <mergeCell ref="H5:I5"/>
    <mergeCell ref="B5:B6"/>
    <mergeCell ref="D5:E5"/>
  </mergeCells>
  <pageMargins left="0.511811024" right="0.511811024" top="0.78740157499999996" bottom="0.78740157499999996" header="0.31496062000000002" footer="0.31496062000000002"/>
  <pageSetup paperSize="9" scale="42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547051-E1EE-4B73-A805-D8D11B5E3121}">
  <dimension ref="A1:Y60"/>
  <sheetViews>
    <sheetView view="pageBreakPreview" zoomScale="85" zoomScaleNormal="90" zoomScaleSheetLayoutView="85" workbookViewId="0">
      <selection activeCell="B7" sqref="B7"/>
    </sheetView>
  </sheetViews>
  <sheetFormatPr defaultRowHeight="14.4" x14ac:dyDescent="0.3"/>
  <cols>
    <col min="1" max="1" width="11.21875" bestFit="1" customWidth="1"/>
    <col min="2" max="2" width="8.5546875" bestFit="1" customWidth="1"/>
    <col min="3" max="3" width="8.21875" bestFit="1" customWidth="1"/>
    <col min="4" max="4" width="9.21875" bestFit="1" customWidth="1"/>
    <col min="5" max="5" width="12.21875" bestFit="1" customWidth="1"/>
    <col min="6" max="6" width="9.21875" bestFit="1" customWidth="1"/>
    <col min="7" max="7" width="13.21875" bestFit="1" customWidth="1"/>
    <col min="8" max="8" width="10.44140625" bestFit="1" customWidth="1"/>
    <col min="9" max="9" width="9.44140625" bestFit="1" customWidth="1"/>
    <col min="10" max="10" width="9.109375" bestFit="1" customWidth="1"/>
    <col min="11" max="11" width="10.5546875" bestFit="1" customWidth="1"/>
    <col min="12" max="12" width="9.109375" bestFit="1" customWidth="1"/>
    <col min="13" max="13" width="7.33203125" bestFit="1" customWidth="1"/>
    <col min="14" max="14" width="9.109375" bestFit="1" customWidth="1"/>
    <col min="15" max="15" width="7.33203125" bestFit="1" customWidth="1"/>
    <col min="16" max="16" width="10.77734375" bestFit="1" customWidth="1"/>
    <col min="17" max="17" width="12.88671875" bestFit="1" customWidth="1"/>
    <col min="18" max="18" width="11.21875" bestFit="1" customWidth="1"/>
    <col min="19" max="19" width="10.6640625" customWidth="1"/>
    <col min="25" max="25" width="11.88671875" bestFit="1" customWidth="1"/>
  </cols>
  <sheetData>
    <row r="1" spans="1:24" ht="15" thickBot="1" x14ac:dyDescent="0.35"/>
    <row r="2" spans="1:24" ht="14.4" customHeight="1" x14ac:dyDescent="0.3">
      <c r="A2" s="162" t="s">
        <v>32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4"/>
    </row>
    <row r="3" spans="1:24" ht="15" thickBot="1" x14ac:dyDescent="0.35">
      <c r="A3" s="165"/>
      <c r="B3" s="166"/>
      <c r="C3" s="166"/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66"/>
      <c r="P3" s="166"/>
      <c r="Q3" s="166"/>
      <c r="R3" s="167"/>
      <c r="T3" s="154" t="s">
        <v>115</v>
      </c>
      <c r="U3" s="154"/>
      <c r="V3" s="154"/>
      <c r="W3" s="154"/>
      <c r="X3" s="154"/>
    </row>
    <row r="4" spans="1:24" ht="15" thickBot="1" x14ac:dyDescent="0.35">
      <c r="A4" s="168"/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  <c r="P4" s="169"/>
      <c r="Q4" s="169"/>
      <c r="R4" s="170"/>
      <c r="T4" s="32" t="s">
        <v>116</v>
      </c>
      <c r="U4" s="32">
        <v>0.12</v>
      </c>
      <c r="V4" s="34"/>
      <c r="W4" s="32" t="s">
        <v>118</v>
      </c>
      <c r="X4" s="32">
        <v>0.95</v>
      </c>
    </row>
    <row r="5" spans="1:24" s="1" customFormat="1" ht="44.25" customHeight="1" x14ac:dyDescent="0.3">
      <c r="A5" s="173" t="s">
        <v>0</v>
      </c>
      <c r="B5" s="8" t="s">
        <v>1</v>
      </c>
      <c r="C5" s="172" t="s">
        <v>120</v>
      </c>
      <c r="D5" s="172"/>
      <c r="E5" s="6" t="s">
        <v>4</v>
      </c>
      <c r="F5" s="6" t="s">
        <v>73</v>
      </c>
      <c r="G5" s="6" t="s">
        <v>5</v>
      </c>
      <c r="H5" s="6" t="s">
        <v>6</v>
      </c>
      <c r="I5" s="6" t="s">
        <v>7</v>
      </c>
      <c r="J5" s="172" t="s">
        <v>47</v>
      </c>
      <c r="K5" s="172"/>
      <c r="L5" s="171" t="s">
        <v>48</v>
      </c>
      <c r="M5" s="171"/>
      <c r="N5" s="172" t="s">
        <v>49</v>
      </c>
      <c r="O5" s="172"/>
      <c r="P5" s="6" t="s">
        <v>17</v>
      </c>
      <c r="Q5" s="7" t="s">
        <v>10</v>
      </c>
      <c r="R5" s="37" t="s">
        <v>11</v>
      </c>
      <c r="S5" s="2"/>
      <c r="T5" s="33" t="s">
        <v>117</v>
      </c>
      <c r="U5" s="33">
        <v>30</v>
      </c>
      <c r="V5" s="35"/>
      <c r="W5" s="33" t="s">
        <v>119</v>
      </c>
      <c r="X5" s="33">
        <v>3609.11</v>
      </c>
    </row>
    <row r="6" spans="1:24" s="1" customFormat="1" ht="34.200000000000003" customHeight="1" thickBot="1" x14ac:dyDescent="0.35">
      <c r="A6" s="174"/>
      <c r="B6" s="9" t="s">
        <v>15</v>
      </c>
      <c r="C6" s="4" t="s">
        <v>0</v>
      </c>
      <c r="D6" s="4" t="s">
        <v>2</v>
      </c>
      <c r="E6" s="4" t="s">
        <v>3</v>
      </c>
      <c r="F6" s="4" t="s">
        <v>74</v>
      </c>
      <c r="G6" s="4" t="s">
        <v>12</v>
      </c>
      <c r="H6" s="4" t="s">
        <v>13</v>
      </c>
      <c r="I6" s="4" t="s">
        <v>14</v>
      </c>
      <c r="J6" s="5" t="s">
        <v>8</v>
      </c>
      <c r="K6" s="5" t="s">
        <v>9</v>
      </c>
      <c r="L6" s="5" t="s">
        <v>8</v>
      </c>
      <c r="M6" s="5" t="s">
        <v>9</v>
      </c>
      <c r="N6" s="5" t="s">
        <v>8</v>
      </c>
      <c r="O6" s="5" t="s">
        <v>9</v>
      </c>
      <c r="P6" s="5" t="s">
        <v>18</v>
      </c>
      <c r="Q6" s="4" t="s">
        <v>16</v>
      </c>
      <c r="R6" s="47" t="s">
        <v>52</v>
      </c>
    </row>
    <row r="7" spans="1:24" x14ac:dyDescent="0.3">
      <c r="A7" s="56" t="s">
        <v>70</v>
      </c>
      <c r="B7" s="57">
        <v>28.758700000000001</v>
      </c>
      <c r="C7" s="58">
        <f>(650.6579/2)+320.3977+353.3496+388.2797</f>
        <v>1387.3559500000001</v>
      </c>
      <c r="D7" s="58">
        <f>C7</f>
        <v>1387.3559500000001</v>
      </c>
      <c r="E7" s="59">
        <v>5</v>
      </c>
      <c r="F7" s="59">
        <v>5</v>
      </c>
      <c r="G7" s="59">
        <v>0.4</v>
      </c>
      <c r="H7" s="60">
        <f>($X$5*(F7^$U$4))/((E7+$U$5)^$X$4)</f>
        <v>149.42108211326459</v>
      </c>
      <c r="I7" s="61">
        <f>G7*H7*D7*(1/1000)*(1/3600)</f>
        <v>2.3033358591697362E-2</v>
      </c>
      <c r="J7" s="57">
        <v>46.25</v>
      </c>
      <c r="K7" s="57">
        <v>44.75</v>
      </c>
      <c r="L7" s="62">
        <v>1.1000000000000001</v>
      </c>
      <c r="M7" s="62">
        <v>1.1000000000000001</v>
      </c>
      <c r="N7" s="60">
        <f>J7-L7</f>
        <v>45.15</v>
      </c>
      <c r="O7" s="60">
        <f>K7-M7</f>
        <v>43.65</v>
      </c>
      <c r="P7" s="61">
        <f t="shared" ref="P7:P13" si="0">(N7-O7)/B7</f>
        <v>5.2158129539930521E-2</v>
      </c>
      <c r="Q7" s="60">
        <f>Escoamento!P6</f>
        <v>2.1604697221433158</v>
      </c>
      <c r="R7" s="63">
        <f>(B7/Q7)/60</f>
        <v>0.22185530385084995</v>
      </c>
    </row>
    <row r="8" spans="1:24" x14ac:dyDescent="0.3">
      <c r="A8" s="56" t="s">
        <v>127</v>
      </c>
      <c r="B8" s="57">
        <f>B7</f>
        <v>28.758700000000001</v>
      </c>
      <c r="C8" s="58">
        <f>(650.6579/2)+598.7964</f>
        <v>924.12535000000003</v>
      </c>
      <c r="D8" s="58">
        <f>C8+D7</f>
        <v>2311.4813000000004</v>
      </c>
      <c r="E8" s="64">
        <f>E7+R7</f>
        <v>5.2218553038508499</v>
      </c>
      <c r="F8" s="59">
        <v>5</v>
      </c>
      <c r="G8" s="59">
        <v>0.4</v>
      </c>
      <c r="H8" s="60">
        <f t="shared" ref="H8:H55" si="1">($X$5*(F8^$U$4))/((E8+$U$5)^$X$4)</f>
        <v>148.52682664625345</v>
      </c>
      <c r="I8" s="61">
        <f t="shared" ref="I8:I13" si="2">G8*H8*D8*(1/1000)*(1/3600)</f>
        <v>3.8146331371239635E-2</v>
      </c>
      <c r="J8" s="57">
        <f>K7</f>
        <v>44.75</v>
      </c>
      <c r="K8" s="57">
        <v>42</v>
      </c>
      <c r="L8" s="62">
        <v>1.1000000000000001</v>
      </c>
      <c r="M8" s="62">
        <v>1.1000000000000001</v>
      </c>
      <c r="N8" s="60">
        <f t="shared" ref="N8:N13" si="3">J8-L8</f>
        <v>43.65</v>
      </c>
      <c r="O8" s="60">
        <f t="shared" ref="O8:O13" si="4">K8-M8</f>
        <v>40.9</v>
      </c>
      <c r="P8" s="61">
        <f t="shared" si="0"/>
        <v>9.5623237489872628E-2</v>
      </c>
      <c r="Q8" s="60">
        <f>Escoamento!P7</f>
        <v>3.0169047884942182</v>
      </c>
      <c r="R8" s="63">
        <f t="shared" ref="R8:R13" si="5">(B8/Q8)/60</f>
        <v>0.15887530441618553</v>
      </c>
    </row>
    <row r="9" spans="1:24" x14ac:dyDescent="0.3">
      <c r="A9" s="56" t="s">
        <v>121</v>
      </c>
      <c r="B9" s="57">
        <v>45.970300000000002</v>
      </c>
      <c r="C9" s="58">
        <f>991.6743+523.0814</f>
        <v>1514.7557000000002</v>
      </c>
      <c r="D9" s="58">
        <f t="shared" ref="D9:D13" si="6">C9+D8</f>
        <v>3826.2370000000005</v>
      </c>
      <c r="E9" s="64">
        <f>E8+R8</f>
        <v>5.3807306082670356</v>
      </c>
      <c r="F9" s="59">
        <v>5</v>
      </c>
      <c r="G9" s="59">
        <v>0.4</v>
      </c>
      <c r="H9" s="60">
        <f t="shared" si="1"/>
        <v>147.89315111897386</v>
      </c>
      <c r="I9" s="61">
        <f t="shared" si="2"/>
        <v>6.2874916317556595E-2</v>
      </c>
      <c r="J9" s="57">
        <f>K8</f>
        <v>42</v>
      </c>
      <c r="K9" s="57">
        <v>39.5</v>
      </c>
      <c r="L9" s="62">
        <v>1.1000000000000001</v>
      </c>
      <c r="M9" s="62">
        <v>1.1000000000000001</v>
      </c>
      <c r="N9" s="60">
        <f t="shared" si="3"/>
        <v>40.9</v>
      </c>
      <c r="O9" s="60">
        <f t="shared" si="4"/>
        <v>38.4</v>
      </c>
      <c r="P9" s="61">
        <f t="shared" si="0"/>
        <v>5.4382938549454751E-2</v>
      </c>
      <c r="Q9" s="60">
        <f>Escoamento!P8</f>
        <v>2.7195501043060957</v>
      </c>
      <c r="R9" s="63">
        <f t="shared" si="5"/>
        <v>0.28172735830589102</v>
      </c>
    </row>
    <row r="10" spans="1:24" x14ac:dyDescent="0.3">
      <c r="A10" s="56" t="s">
        <v>112</v>
      </c>
      <c r="B10" s="57">
        <f>B9</f>
        <v>45.970300000000002</v>
      </c>
      <c r="C10" s="58">
        <f>586.1274+590.4896</f>
        <v>1176.617</v>
      </c>
      <c r="D10" s="58">
        <f t="shared" si="6"/>
        <v>5002.8540000000003</v>
      </c>
      <c r="E10" s="64">
        <f t="shared" ref="E10:E55" si="7">E9+R9</f>
        <v>5.6624579665729264</v>
      </c>
      <c r="F10" s="59">
        <v>5</v>
      </c>
      <c r="G10" s="59">
        <v>0.4</v>
      </c>
      <c r="H10" s="60">
        <f t="shared" si="1"/>
        <v>146.78301708090407</v>
      </c>
      <c r="I10" s="61">
        <f t="shared" si="2"/>
        <v>8.159266712614105E-2</v>
      </c>
      <c r="J10" s="57">
        <v>39.5</v>
      </c>
      <c r="K10" s="57">
        <v>43.25</v>
      </c>
      <c r="L10" s="62">
        <v>1.1000000000000001</v>
      </c>
      <c r="M10" s="62">
        <v>5.25</v>
      </c>
      <c r="N10" s="60">
        <f t="shared" si="3"/>
        <v>38.4</v>
      </c>
      <c r="O10" s="60">
        <f t="shared" si="4"/>
        <v>38</v>
      </c>
      <c r="P10" s="61">
        <f t="shared" si="0"/>
        <v>8.7012701679127294E-3</v>
      </c>
      <c r="Q10" s="60">
        <f>Escoamento!P9</f>
        <v>1.4483166609081708</v>
      </c>
      <c r="R10" s="63">
        <f t="shared" si="5"/>
        <v>0.52900839115268949</v>
      </c>
    </row>
    <row r="11" spans="1:24" x14ac:dyDescent="0.3">
      <c r="A11" s="56" t="s">
        <v>143</v>
      </c>
      <c r="B11" s="57">
        <v>37.014200000000002</v>
      </c>
      <c r="C11" s="58">
        <f>1918.7+2246.6</f>
        <v>4165.3</v>
      </c>
      <c r="D11" s="58">
        <f>C11</f>
        <v>4165.3</v>
      </c>
      <c r="E11" s="64">
        <f t="shared" si="7"/>
        <v>6.1914663577256164</v>
      </c>
      <c r="F11" s="59">
        <v>5</v>
      </c>
      <c r="G11" s="59">
        <v>0.4</v>
      </c>
      <c r="H11" s="60">
        <f t="shared" si="1"/>
        <v>144.74402618374609</v>
      </c>
      <c r="I11" s="61">
        <f t="shared" si="2"/>
        <v>6.6989143584795297E-2</v>
      </c>
      <c r="J11" s="57">
        <v>43</v>
      </c>
      <c r="K11" s="57">
        <v>43.25</v>
      </c>
      <c r="L11" s="62">
        <v>1.1000000000000001</v>
      </c>
      <c r="M11" s="62">
        <v>1.75</v>
      </c>
      <c r="N11" s="60">
        <f>J11-L11</f>
        <v>41.9</v>
      </c>
      <c r="O11" s="60">
        <f>K11-M11</f>
        <v>41.5</v>
      </c>
      <c r="P11" s="61">
        <f t="shared" si="0"/>
        <v>1.08066633886454E-2</v>
      </c>
      <c r="Q11" s="60">
        <f>Escoamento!P10</f>
        <v>1.5184415562078213</v>
      </c>
      <c r="R11" s="63">
        <f t="shared" si="5"/>
        <v>0.40627400561533433</v>
      </c>
    </row>
    <row r="12" spans="1:24" x14ac:dyDescent="0.3">
      <c r="A12" s="56" t="s">
        <v>149</v>
      </c>
      <c r="B12" s="57">
        <v>36.978299999999997</v>
      </c>
      <c r="C12" s="58">
        <f>420.1533+700.9276+103.5988</f>
        <v>1224.6796999999999</v>
      </c>
      <c r="D12" s="58">
        <f>C12+D11</f>
        <v>5389.9796999999999</v>
      </c>
      <c r="E12" s="64">
        <f t="shared" si="7"/>
        <v>6.597740363340951</v>
      </c>
      <c r="F12" s="59">
        <v>5</v>
      </c>
      <c r="G12" s="59">
        <v>0.4</v>
      </c>
      <c r="H12" s="60">
        <f t="shared" si="1"/>
        <v>143.21712827353184</v>
      </c>
      <c r="I12" s="61">
        <f t="shared" si="2"/>
        <v>8.5770823787403638E-2</v>
      </c>
      <c r="J12" s="57">
        <f>K11</f>
        <v>43.25</v>
      </c>
      <c r="K12" s="57">
        <v>45.5</v>
      </c>
      <c r="L12" s="62">
        <v>1.75</v>
      </c>
      <c r="M12" s="62">
        <v>4.25</v>
      </c>
      <c r="N12" s="60">
        <f t="shared" si="3"/>
        <v>41.5</v>
      </c>
      <c r="O12" s="60">
        <f t="shared" si="4"/>
        <v>41.25</v>
      </c>
      <c r="P12" s="61">
        <f t="shared" si="0"/>
        <v>6.7607218287482123E-3</v>
      </c>
      <c r="Q12" s="60">
        <f>Escoamento!P11</f>
        <v>1.3601444690043372</v>
      </c>
      <c r="R12" s="63">
        <f t="shared" si="5"/>
        <v>0.45311730778948206</v>
      </c>
    </row>
    <row r="13" spans="1:24" x14ac:dyDescent="0.3">
      <c r="A13" s="56" t="s">
        <v>144</v>
      </c>
      <c r="B13" s="57">
        <v>45.734699999999997</v>
      </c>
      <c r="C13" s="58">
        <f>391.4757+982.4</f>
        <v>1373.8757000000001</v>
      </c>
      <c r="D13" s="58">
        <f t="shared" si="6"/>
        <v>6763.8554000000004</v>
      </c>
      <c r="E13" s="64">
        <f t="shared" si="7"/>
        <v>7.0508576711304327</v>
      </c>
      <c r="F13" s="59">
        <v>5</v>
      </c>
      <c r="G13" s="59">
        <v>0.4</v>
      </c>
      <c r="H13" s="60">
        <f t="shared" si="1"/>
        <v>141.55270306485622</v>
      </c>
      <c r="I13" s="61">
        <f t="shared" si="2"/>
        <v>0.10638244611220271</v>
      </c>
      <c r="J13" s="57">
        <v>45.5</v>
      </c>
      <c r="K13" s="57">
        <v>43.5</v>
      </c>
      <c r="L13" s="62">
        <f>M12</f>
        <v>4.25</v>
      </c>
      <c r="M13" s="62">
        <v>2.5</v>
      </c>
      <c r="N13" s="60">
        <f t="shared" si="3"/>
        <v>41.25</v>
      </c>
      <c r="O13" s="60">
        <f t="shared" si="4"/>
        <v>41</v>
      </c>
      <c r="P13" s="61">
        <f t="shared" si="0"/>
        <v>5.466308951408887E-3</v>
      </c>
      <c r="Q13" s="60">
        <f>Escoamento!P12</f>
        <v>1.3030781116291252</v>
      </c>
      <c r="R13" s="63">
        <f t="shared" si="5"/>
        <v>0.58495725866121051</v>
      </c>
    </row>
    <row r="14" spans="1:24" x14ac:dyDescent="0.3">
      <c r="A14" s="56" t="s">
        <v>155</v>
      </c>
      <c r="B14" s="57">
        <v>2.5985999999999998</v>
      </c>
      <c r="C14" s="58">
        <v>0</v>
      </c>
      <c r="D14" s="58">
        <f>C14+D13</f>
        <v>6763.8554000000004</v>
      </c>
      <c r="E14" s="64">
        <f t="shared" si="7"/>
        <v>7.6358149297916436</v>
      </c>
      <c r="F14" s="59">
        <v>5</v>
      </c>
      <c r="G14" s="59">
        <v>0.4</v>
      </c>
      <c r="H14" s="60">
        <f t="shared" si="1"/>
        <v>139.46179842669719</v>
      </c>
      <c r="I14" s="61">
        <f t="shared" ref="I14:I15" si="8">G14*H14*D14*(1/1000)*(1/3600)</f>
        <v>0.10481104870912526</v>
      </c>
      <c r="J14" s="57">
        <v>43.5</v>
      </c>
      <c r="K14" s="57">
        <v>43.25</v>
      </c>
      <c r="L14" s="62">
        <f>M13</f>
        <v>2.5</v>
      </c>
      <c r="M14" s="62">
        <v>2.5</v>
      </c>
      <c r="N14" s="60">
        <f t="shared" ref="N14:N52" si="9">J14-L14</f>
        <v>41</v>
      </c>
      <c r="O14" s="60">
        <f t="shared" ref="O14:O52" si="10">K14-M14</f>
        <v>40.75</v>
      </c>
      <c r="P14" s="61">
        <f t="shared" ref="P14:P52" si="11">(N14-O14)/B14</f>
        <v>9.6205649195720777E-2</v>
      </c>
      <c r="Q14" s="60">
        <f>Escoamento!P13</f>
        <v>3.852456620485329</v>
      </c>
      <c r="R14" s="63">
        <f t="shared" ref="R14:R52" si="12">(B14/Q14)/60</f>
        <v>1.124217720446229E-2</v>
      </c>
    </row>
    <row r="15" spans="1:24" x14ac:dyDescent="0.3">
      <c r="A15" s="56" t="s">
        <v>128</v>
      </c>
      <c r="B15" s="57">
        <v>33.258899999999997</v>
      </c>
      <c r="C15" s="58">
        <f>229.8935+495.3825</f>
        <v>725.27599999999995</v>
      </c>
      <c r="D15" s="58">
        <f>D14+D10+C15</f>
        <v>12491.9854</v>
      </c>
      <c r="E15" s="64">
        <f t="shared" si="7"/>
        <v>7.6470571069961055</v>
      </c>
      <c r="F15" s="59">
        <v>5</v>
      </c>
      <c r="G15" s="59">
        <v>0.4</v>
      </c>
      <c r="H15" s="60">
        <f t="shared" si="1"/>
        <v>139.42223430737911</v>
      </c>
      <c r="I15" s="61">
        <f t="shared" si="8"/>
        <v>0.19351783504479547</v>
      </c>
      <c r="J15" s="57">
        <v>43.25</v>
      </c>
      <c r="K15" s="57">
        <v>41.5</v>
      </c>
      <c r="L15" s="62">
        <v>5.25</v>
      </c>
      <c r="M15" s="62">
        <v>3.75</v>
      </c>
      <c r="N15" s="60">
        <f t="shared" si="9"/>
        <v>38</v>
      </c>
      <c r="O15" s="60">
        <f t="shared" si="10"/>
        <v>37.75</v>
      </c>
      <c r="P15" s="61">
        <f t="shared" si="11"/>
        <v>7.5167849808622659E-3</v>
      </c>
      <c r="Q15" s="60">
        <f>Escoamento!P14</f>
        <v>1.7199533348152611</v>
      </c>
      <c r="R15" s="63">
        <f t="shared" si="12"/>
        <v>0.32228490667715615</v>
      </c>
    </row>
    <row r="16" spans="1:24" x14ac:dyDescent="0.3">
      <c r="A16" s="56" t="s">
        <v>122</v>
      </c>
      <c r="B16" s="57">
        <v>5.6288999999999998</v>
      </c>
      <c r="C16" s="58">
        <v>1047.5581</v>
      </c>
      <c r="D16" s="58">
        <f t="shared" ref="D16:D27" si="13">C16+D15</f>
        <v>13539.5435</v>
      </c>
      <c r="E16" s="64">
        <f t="shared" si="7"/>
        <v>7.9693420136732618</v>
      </c>
      <c r="F16" s="59">
        <v>5</v>
      </c>
      <c r="G16" s="59">
        <v>0.4</v>
      </c>
      <c r="H16" s="60">
        <f t="shared" si="1"/>
        <v>138.29774595282461</v>
      </c>
      <c r="I16" s="61">
        <f t="shared" ref="I16:I55" si="14">G16*H16*D16*(1/1000)*(1/3600)</f>
        <v>0.20805426080891309</v>
      </c>
      <c r="J16" s="57">
        <v>41.5</v>
      </c>
      <c r="K16" s="57">
        <v>41</v>
      </c>
      <c r="L16" s="62">
        <f>M15</f>
        <v>3.75</v>
      </c>
      <c r="M16" s="62">
        <v>3.5</v>
      </c>
      <c r="N16" s="60">
        <f t="shared" si="9"/>
        <v>37.75</v>
      </c>
      <c r="O16" s="60">
        <f t="shared" si="10"/>
        <v>37.5</v>
      </c>
      <c r="P16" s="61">
        <f t="shared" si="11"/>
        <v>4.4413650979765143E-2</v>
      </c>
      <c r="Q16" s="60">
        <f>Escoamento!P15</f>
        <v>3.4446879485935584</v>
      </c>
      <c r="R16" s="63">
        <f t="shared" si="12"/>
        <v>2.7234687553717017E-2</v>
      </c>
    </row>
    <row r="17" spans="1:25" x14ac:dyDescent="0.3">
      <c r="A17" s="56" t="s">
        <v>113</v>
      </c>
      <c r="B17" s="57">
        <v>49.167400000000001</v>
      </c>
      <c r="C17" s="58">
        <v>610.74839999999995</v>
      </c>
      <c r="D17" s="58">
        <f t="shared" si="13"/>
        <v>14150.2919</v>
      </c>
      <c r="E17" s="64">
        <f t="shared" si="7"/>
        <v>7.9965767012269788</v>
      </c>
      <c r="F17" s="59">
        <v>5</v>
      </c>
      <c r="G17" s="59">
        <v>0.4</v>
      </c>
      <c r="H17" s="60">
        <f t="shared" si="1"/>
        <v>138.20357338387242</v>
      </c>
      <c r="I17" s="61">
        <f t="shared" si="14"/>
        <v>0.21729121166720733</v>
      </c>
      <c r="J17" s="57">
        <v>41</v>
      </c>
      <c r="K17" s="57">
        <v>37.5</v>
      </c>
      <c r="L17" s="62">
        <f>M16</f>
        <v>3.5</v>
      </c>
      <c r="M17" s="62">
        <v>1.1000000000000001</v>
      </c>
      <c r="N17" s="60">
        <f t="shared" si="9"/>
        <v>37.5</v>
      </c>
      <c r="O17" s="60">
        <f t="shared" si="10"/>
        <v>36.4</v>
      </c>
      <c r="P17" s="61">
        <f t="shared" si="11"/>
        <v>2.2372547663695893E-2</v>
      </c>
      <c r="Q17" s="60">
        <f>Escoamento!P16</f>
        <v>2.654472512913006</v>
      </c>
      <c r="R17" s="63">
        <f t="shared" si="12"/>
        <v>0.30870791190352115</v>
      </c>
    </row>
    <row r="18" spans="1:25" x14ac:dyDescent="0.3">
      <c r="A18" s="56" t="s">
        <v>132</v>
      </c>
      <c r="B18" s="57">
        <v>32.25</v>
      </c>
      <c r="C18" s="58">
        <f>469.9541+541.8725</f>
        <v>1011.8265999999999</v>
      </c>
      <c r="D18" s="58">
        <f t="shared" si="13"/>
        <v>15162.1185</v>
      </c>
      <c r="E18" s="64">
        <f t="shared" si="7"/>
        <v>8.3052846131304996</v>
      </c>
      <c r="F18" s="59">
        <v>5</v>
      </c>
      <c r="G18" s="59">
        <v>0.4</v>
      </c>
      <c r="H18" s="60">
        <f t="shared" si="1"/>
        <v>137.14524685104786</v>
      </c>
      <c r="I18" s="61">
        <f t="shared" si="14"/>
        <v>0.23104583160748218</v>
      </c>
      <c r="J18" s="57">
        <v>37.5</v>
      </c>
      <c r="K18" s="57">
        <v>38.5</v>
      </c>
      <c r="L18" s="62">
        <v>1.1000000000000001</v>
      </c>
      <c r="M18" s="62">
        <v>2.25</v>
      </c>
      <c r="N18" s="60">
        <f t="shared" si="9"/>
        <v>36.4</v>
      </c>
      <c r="O18" s="60">
        <f t="shared" si="10"/>
        <v>36.25</v>
      </c>
      <c r="P18" s="61">
        <f t="shared" si="11"/>
        <v>4.6511627906976301E-3</v>
      </c>
      <c r="Q18" s="60">
        <f>Escoamento!P17</f>
        <v>1.4839352120586029</v>
      </c>
      <c r="R18" s="63">
        <f t="shared" si="12"/>
        <v>0.36221257884591079</v>
      </c>
    </row>
    <row r="19" spans="1:25" x14ac:dyDescent="0.3">
      <c r="A19" s="56" t="s">
        <v>133</v>
      </c>
      <c r="B19" s="57">
        <v>32.25</v>
      </c>
      <c r="C19" s="58">
        <f>640.3182+725.4488</f>
        <v>1365.7670000000001</v>
      </c>
      <c r="D19" s="58">
        <f t="shared" si="13"/>
        <v>16527.8855</v>
      </c>
      <c r="E19" s="64">
        <f t="shared" si="7"/>
        <v>8.6674971919764108</v>
      </c>
      <c r="F19" s="59">
        <v>5</v>
      </c>
      <c r="G19" s="59">
        <v>0.4</v>
      </c>
      <c r="H19" s="60">
        <f t="shared" si="1"/>
        <v>135.92450492816181</v>
      </c>
      <c r="I19" s="61">
        <f t="shared" si="14"/>
        <v>0.24961607267742714</v>
      </c>
      <c r="J19" s="57">
        <v>38.5</v>
      </c>
      <c r="K19" s="57">
        <v>38.5</v>
      </c>
      <c r="L19" s="62">
        <v>2.25</v>
      </c>
      <c r="M19" s="62">
        <v>2.5</v>
      </c>
      <c r="N19" s="60">
        <f t="shared" si="9"/>
        <v>36.25</v>
      </c>
      <c r="O19" s="60">
        <f t="shared" si="10"/>
        <v>36</v>
      </c>
      <c r="P19" s="61">
        <f t="shared" si="11"/>
        <v>7.7519379844961239E-3</v>
      </c>
      <c r="Q19" s="60">
        <f>Escoamento!P18</f>
        <v>1.8040046115222179</v>
      </c>
      <c r="R19" s="63">
        <f t="shared" si="12"/>
        <v>0.29794824057930641</v>
      </c>
    </row>
    <row r="20" spans="1:25" x14ac:dyDescent="0.3">
      <c r="A20" s="56" t="s">
        <v>134</v>
      </c>
      <c r="B20" s="57">
        <v>32.25</v>
      </c>
      <c r="C20" s="58">
        <f t="shared" ref="C20:C26" si="15">640.3182+725.4488</f>
        <v>1365.7670000000001</v>
      </c>
      <c r="D20" s="58">
        <f t="shared" si="13"/>
        <v>17893.6525</v>
      </c>
      <c r="E20" s="64">
        <f t="shared" si="7"/>
        <v>8.9654454325557165</v>
      </c>
      <c r="F20" s="59">
        <v>5</v>
      </c>
      <c r="G20" s="59">
        <v>0.4</v>
      </c>
      <c r="H20" s="60">
        <f t="shared" si="1"/>
        <v>134.93693972143132</v>
      </c>
      <c r="I20" s="61">
        <f t="shared" si="14"/>
        <v>0.26827941208763767</v>
      </c>
      <c r="J20" s="57">
        <v>38.5</v>
      </c>
      <c r="K20" s="57">
        <v>37.5</v>
      </c>
      <c r="L20" s="62">
        <v>2.5</v>
      </c>
      <c r="M20" s="62">
        <v>1.75</v>
      </c>
      <c r="N20" s="60">
        <f t="shared" si="9"/>
        <v>36</v>
      </c>
      <c r="O20" s="60">
        <f t="shared" si="10"/>
        <v>35.75</v>
      </c>
      <c r="P20" s="61">
        <f t="shared" si="11"/>
        <v>7.7519379844961239E-3</v>
      </c>
      <c r="Q20" s="60">
        <f>Escoamento!P19</f>
        <v>1.8841650223832787</v>
      </c>
      <c r="R20" s="63">
        <f t="shared" si="12"/>
        <v>0.28527225249098226</v>
      </c>
    </row>
    <row r="21" spans="1:25" x14ac:dyDescent="0.3">
      <c r="A21" s="56" t="s">
        <v>135</v>
      </c>
      <c r="B21" s="57">
        <v>32.25</v>
      </c>
      <c r="C21" s="58">
        <f t="shared" si="15"/>
        <v>1365.7670000000001</v>
      </c>
      <c r="D21" s="58">
        <f t="shared" si="13"/>
        <v>19259.4195</v>
      </c>
      <c r="E21" s="64">
        <f t="shared" si="7"/>
        <v>9.2507176850466983</v>
      </c>
      <c r="F21" s="59">
        <v>5</v>
      </c>
      <c r="G21" s="59">
        <v>0.4</v>
      </c>
      <c r="H21" s="60">
        <f t="shared" si="1"/>
        <v>134.00509082337706</v>
      </c>
      <c r="I21" s="61">
        <f t="shared" si="14"/>
        <v>0.28676225103366887</v>
      </c>
      <c r="J21" s="57">
        <v>37.5</v>
      </c>
      <c r="K21" s="57">
        <v>37.5</v>
      </c>
      <c r="L21" s="62">
        <v>1.75</v>
      </c>
      <c r="M21" s="62">
        <v>2</v>
      </c>
      <c r="N21" s="60">
        <f t="shared" si="9"/>
        <v>35.75</v>
      </c>
      <c r="O21" s="60">
        <f t="shared" si="10"/>
        <v>35.5</v>
      </c>
      <c r="P21" s="61">
        <f t="shared" si="11"/>
        <v>7.7519379844961239E-3</v>
      </c>
      <c r="Q21" s="60">
        <f>Escoamento!P20</f>
        <v>1.9051156038803665</v>
      </c>
      <c r="R21" s="63">
        <f t="shared" si="12"/>
        <v>0.2821351097567058</v>
      </c>
    </row>
    <row r="22" spans="1:25" x14ac:dyDescent="0.3">
      <c r="A22" s="56" t="s">
        <v>136</v>
      </c>
      <c r="B22" s="57">
        <v>32.25</v>
      </c>
      <c r="C22" s="58">
        <f t="shared" si="15"/>
        <v>1365.7670000000001</v>
      </c>
      <c r="D22" s="58">
        <f t="shared" si="13"/>
        <v>20625.1865</v>
      </c>
      <c r="E22" s="64">
        <f t="shared" si="7"/>
        <v>9.5328527948034036</v>
      </c>
      <c r="F22" s="59">
        <v>5</v>
      </c>
      <c r="G22" s="59">
        <v>0.4</v>
      </c>
      <c r="H22" s="60">
        <f t="shared" si="1"/>
        <v>133.09638867424215</v>
      </c>
      <c r="I22" s="61">
        <f t="shared" si="14"/>
        <v>0.30501531543141469</v>
      </c>
      <c r="J22" s="57">
        <v>37.5</v>
      </c>
      <c r="K22" s="57">
        <v>37.75</v>
      </c>
      <c r="L22" s="62">
        <v>2</v>
      </c>
      <c r="M22" s="62">
        <v>2.75</v>
      </c>
      <c r="N22" s="60">
        <f t="shared" si="9"/>
        <v>35.5</v>
      </c>
      <c r="O22" s="60">
        <f t="shared" si="10"/>
        <v>35</v>
      </c>
      <c r="P22" s="61">
        <f t="shared" si="11"/>
        <v>1.5503875968992248E-2</v>
      </c>
      <c r="Q22" s="60">
        <f>Escoamento!P21</f>
        <v>2.5099760644315743</v>
      </c>
      <c r="R22" s="63">
        <f t="shared" si="12"/>
        <v>0.21414546840378967</v>
      </c>
      <c r="T22" t="s">
        <v>158</v>
      </c>
      <c r="U22">
        <v>42</v>
      </c>
      <c r="V22">
        <v>42.5</v>
      </c>
      <c r="W22">
        <v>1.1000000000000001</v>
      </c>
      <c r="X22">
        <v>1.75</v>
      </c>
    </row>
    <row r="23" spans="1:25" x14ac:dyDescent="0.3">
      <c r="A23" s="56" t="s">
        <v>137</v>
      </c>
      <c r="B23" s="57">
        <v>32.25</v>
      </c>
      <c r="C23" s="58">
        <f t="shared" si="15"/>
        <v>1365.7670000000001</v>
      </c>
      <c r="D23" s="58">
        <f t="shared" si="13"/>
        <v>21990.9535</v>
      </c>
      <c r="E23" s="64">
        <f t="shared" si="7"/>
        <v>9.7469982632071925</v>
      </c>
      <c r="F23" s="59">
        <v>5</v>
      </c>
      <c r="G23" s="59">
        <v>0.4</v>
      </c>
      <c r="H23" s="60">
        <f t="shared" si="1"/>
        <v>132.41506570109004</v>
      </c>
      <c r="I23" s="61">
        <f t="shared" si="14"/>
        <v>0.32354817250356849</v>
      </c>
      <c r="J23" s="57">
        <f>K22</f>
        <v>37.75</v>
      </c>
      <c r="K23" s="57">
        <v>38</v>
      </c>
      <c r="L23" s="62">
        <v>2.75</v>
      </c>
      <c r="M23" s="62">
        <v>3.25</v>
      </c>
      <c r="N23" s="60">
        <f t="shared" si="9"/>
        <v>35</v>
      </c>
      <c r="O23" s="60">
        <f t="shared" si="10"/>
        <v>34.75</v>
      </c>
      <c r="P23" s="61">
        <f t="shared" si="11"/>
        <v>7.7519379844961239E-3</v>
      </c>
      <c r="Q23" s="60">
        <f>Escoamento!P22</f>
        <v>1.9304624064863245</v>
      </c>
      <c r="R23" s="63">
        <f t="shared" si="12"/>
        <v>0.27843070043426288</v>
      </c>
      <c r="T23" t="s">
        <v>145</v>
      </c>
      <c r="U23">
        <v>42.5</v>
      </c>
      <c r="V23">
        <v>42</v>
      </c>
      <c r="W23">
        <v>1.75</v>
      </c>
      <c r="X23">
        <v>1.5</v>
      </c>
    </row>
    <row r="24" spans="1:25" x14ac:dyDescent="0.3">
      <c r="A24" s="56" t="s">
        <v>138</v>
      </c>
      <c r="B24" s="57">
        <v>32.25</v>
      </c>
      <c r="C24" s="58">
        <f t="shared" si="15"/>
        <v>1365.7670000000001</v>
      </c>
      <c r="D24" s="58">
        <f t="shared" si="13"/>
        <v>23356.720499999999</v>
      </c>
      <c r="E24" s="64">
        <f t="shared" si="7"/>
        <v>10.025428963641456</v>
      </c>
      <c r="F24" s="59">
        <v>5</v>
      </c>
      <c r="G24" s="59">
        <v>0.4</v>
      </c>
      <c r="H24" s="60">
        <f t="shared" si="1"/>
        <v>131.53984448656379</v>
      </c>
      <c r="I24" s="61">
        <f t="shared" si="14"/>
        <v>0.3413710424762374</v>
      </c>
      <c r="J24" s="57">
        <f>K23</f>
        <v>38</v>
      </c>
      <c r="K24" s="57">
        <v>38</v>
      </c>
      <c r="L24" s="62">
        <v>3.25</v>
      </c>
      <c r="M24" s="62">
        <v>3.5</v>
      </c>
      <c r="N24" s="60">
        <f t="shared" si="9"/>
        <v>34.75</v>
      </c>
      <c r="O24" s="60">
        <f t="shared" si="10"/>
        <v>34.5</v>
      </c>
      <c r="P24" s="61">
        <f t="shared" si="11"/>
        <v>7.7519379844961239E-3</v>
      </c>
      <c r="Q24" s="60">
        <f>Escoamento!P23</f>
        <v>2.0202819055022352</v>
      </c>
      <c r="R24" s="63">
        <f t="shared" si="12"/>
        <v>0.26605197944708581</v>
      </c>
      <c r="T24" t="s">
        <v>146</v>
      </c>
      <c r="U24">
        <v>42</v>
      </c>
      <c r="V24">
        <v>42</v>
      </c>
      <c r="W24">
        <v>1.5</v>
      </c>
      <c r="X24">
        <v>1.75</v>
      </c>
    </row>
    <row r="25" spans="1:25" x14ac:dyDescent="0.3">
      <c r="A25" s="56" t="s">
        <v>139</v>
      </c>
      <c r="B25" s="57">
        <v>32.25</v>
      </c>
      <c r="C25" s="58">
        <f t="shared" si="15"/>
        <v>1365.7670000000001</v>
      </c>
      <c r="D25" s="58">
        <f t="shared" si="13"/>
        <v>24722.487499999999</v>
      </c>
      <c r="E25" s="64">
        <f t="shared" si="7"/>
        <v>10.291480943088542</v>
      </c>
      <c r="F25" s="59">
        <v>5</v>
      </c>
      <c r="G25" s="59">
        <v>0.4</v>
      </c>
      <c r="H25" s="60">
        <f t="shared" si="1"/>
        <v>130.71455550520267</v>
      </c>
      <c r="I25" s="61">
        <f t="shared" si="14"/>
        <v>0.35906544050504768</v>
      </c>
      <c r="J25" s="57">
        <v>38</v>
      </c>
      <c r="K25" s="57">
        <v>38</v>
      </c>
      <c r="L25" s="62">
        <f>M24</f>
        <v>3.5</v>
      </c>
      <c r="M25" s="62">
        <v>3.75</v>
      </c>
      <c r="N25" s="60">
        <f t="shared" si="9"/>
        <v>34.5</v>
      </c>
      <c r="O25" s="60">
        <f t="shared" si="10"/>
        <v>34.25</v>
      </c>
      <c r="P25" s="61">
        <f t="shared" si="11"/>
        <v>7.7519379844961239E-3</v>
      </c>
      <c r="Q25" s="60">
        <f>Escoamento!P24</f>
        <v>2.042693554429921</v>
      </c>
      <c r="R25" s="63">
        <f t="shared" si="12"/>
        <v>0.26313295933907549</v>
      </c>
      <c r="T25" t="s">
        <v>147</v>
      </c>
      <c r="U25">
        <v>42</v>
      </c>
      <c r="V25">
        <v>41.5</v>
      </c>
      <c r="W25">
        <v>1.75</v>
      </c>
      <c r="X25">
        <v>1.5</v>
      </c>
    </row>
    <row r="26" spans="1:25" x14ac:dyDescent="0.3">
      <c r="A26" s="56" t="s">
        <v>140</v>
      </c>
      <c r="B26" s="57">
        <v>32.25</v>
      </c>
      <c r="C26" s="58">
        <f t="shared" si="15"/>
        <v>1365.7670000000001</v>
      </c>
      <c r="D26" s="58">
        <f t="shared" si="13"/>
        <v>26088.254499999999</v>
      </c>
      <c r="E26" s="64">
        <f t="shared" si="7"/>
        <v>10.554613902427619</v>
      </c>
      <c r="F26" s="59">
        <v>5</v>
      </c>
      <c r="G26" s="59">
        <v>0.4</v>
      </c>
      <c r="H26" s="60">
        <f t="shared" si="1"/>
        <v>129.90870749859295</v>
      </c>
      <c r="I26" s="61">
        <f t="shared" si="14"/>
        <v>0.37656571366548347</v>
      </c>
      <c r="J26" s="57">
        <v>38</v>
      </c>
      <c r="K26" s="57">
        <v>38</v>
      </c>
      <c r="L26" s="62">
        <f t="shared" ref="L26:L32" si="16">M25</f>
        <v>3.75</v>
      </c>
      <c r="M26" s="62">
        <v>4</v>
      </c>
      <c r="N26" s="60">
        <f t="shared" si="9"/>
        <v>34.25</v>
      </c>
      <c r="O26" s="60">
        <f t="shared" si="10"/>
        <v>34</v>
      </c>
      <c r="P26" s="61">
        <f t="shared" si="11"/>
        <v>7.7519379844961239E-3</v>
      </c>
      <c r="Q26" s="60">
        <f>Escoamento!P25</f>
        <v>2.0628551049057497</v>
      </c>
      <c r="R26" s="63">
        <f t="shared" si="12"/>
        <v>0.26056119924358817</v>
      </c>
      <c r="T26" t="s">
        <v>148</v>
      </c>
      <c r="U26">
        <v>41.5</v>
      </c>
      <c r="V26">
        <v>41</v>
      </c>
      <c r="W26">
        <v>1.5</v>
      </c>
      <c r="X26">
        <v>1.1000000000000001</v>
      </c>
    </row>
    <row r="27" spans="1:25" x14ac:dyDescent="0.3">
      <c r="A27" s="56" t="s">
        <v>156</v>
      </c>
      <c r="B27" s="57">
        <v>32.25</v>
      </c>
      <c r="C27" s="58">
        <f>640.3182</f>
        <v>640.31820000000005</v>
      </c>
      <c r="D27" s="58">
        <f t="shared" si="13"/>
        <v>26728.572700000001</v>
      </c>
      <c r="E27" s="64">
        <f t="shared" si="7"/>
        <v>10.815175101671207</v>
      </c>
      <c r="F27" s="59">
        <v>5</v>
      </c>
      <c r="G27" s="59">
        <v>0.4</v>
      </c>
      <c r="H27" s="60">
        <f t="shared" si="1"/>
        <v>129.12071985022266</v>
      </c>
      <c r="I27" s="61">
        <f t="shared" si="14"/>
        <v>0.38346806084366775</v>
      </c>
      <c r="J27" s="57">
        <v>38</v>
      </c>
      <c r="K27" s="57">
        <v>37.75</v>
      </c>
      <c r="L27" s="62">
        <f t="shared" si="16"/>
        <v>4</v>
      </c>
      <c r="M27" s="62">
        <v>4</v>
      </c>
      <c r="N27" s="60">
        <f t="shared" si="9"/>
        <v>34</v>
      </c>
      <c r="O27" s="60">
        <f t="shared" si="10"/>
        <v>33.75</v>
      </c>
      <c r="P27" s="61">
        <f t="shared" si="11"/>
        <v>7.7519379844961239E-3</v>
      </c>
      <c r="Q27" s="60">
        <f>Escoamento!P26</f>
        <v>2.0704844896639214</v>
      </c>
      <c r="R27" s="63">
        <f t="shared" si="12"/>
        <v>0.25960107534408355</v>
      </c>
      <c r="T27" t="s">
        <v>167</v>
      </c>
      <c r="U27">
        <v>41</v>
      </c>
      <c r="V27">
        <v>41</v>
      </c>
      <c r="W27">
        <v>1.1000000000000001</v>
      </c>
      <c r="X27">
        <v>1.2</v>
      </c>
    </row>
    <row r="28" spans="1:25" x14ac:dyDescent="0.3">
      <c r="A28" s="56" t="s">
        <v>129</v>
      </c>
      <c r="B28" s="57">
        <v>32.25</v>
      </c>
      <c r="C28" s="58">
        <f t="shared" ref="C28:C31" si="17">640.3182</f>
        <v>640.31820000000005</v>
      </c>
      <c r="D28" s="58">
        <f t="shared" ref="D28:D52" si="18">C28+D27</f>
        <v>27368.890900000002</v>
      </c>
      <c r="E28" s="64">
        <f t="shared" si="7"/>
        <v>11.074776177015289</v>
      </c>
      <c r="F28" s="59">
        <v>5</v>
      </c>
      <c r="G28" s="59">
        <v>0.4</v>
      </c>
      <c r="H28" s="60">
        <f t="shared" si="1"/>
        <v>128.34533092629113</v>
      </c>
      <c r="I28" s="61">
        <f t="shared" si="14"/>
        <v>0.39029659551622875</v>
      </c>
      <c r="J28" s="57">
        <v>37.75</v>
      </c>
      <c r="K28" s="57">
        <v>38</v>
      </c>
      <c r="L28" s="62">
        <f t="shared" si="16"/>
        <v>4</v>
      </c>
      <c r="M28" s="62">
        <v>4.5</v>
      </c>
      <c r="N28" s="60">
        <f t="shared" si="9"/>
        <v>33.75</v>
      </c>
      <c r="O28" s="60">
        <f t="shared" si="10"/>
        <v>33.5</v>
      </c>
      <c r="P28" s="61">
        <f t="shared" si="11"/>
        <v>7.7519379844961239E-3</v>
      </c>
      <c r="Q28" s="60">
        <f>Escoamento!P27</f>
        <v>2.082224154798471</v>
      </c>
      <c r="R28" s="63">
        <f t="shared" si="12"/>
        <v>0.25813743384031684</v>
      </c>
      <c r="T28" t="s">
        <v>141</v>
      </c>
      <c r="U28">
        <v>41</v>
      </c>
      <c r="V28">
        <v>41.5</v>
      </c>
      <c r="W28">
        <v>1.2</v>
      </c>
      <c r="X28">
        <v>1.75</v>
      </c>
    </row>
    <row r="29" spans="1:25" x14ac:dyDescent="0.3">
      <c r="A29" s="56" t="s">
        <v>130</v>
      </c>
      <c r="B29" s="57">
        <v>32.25</v>
      </c>
      <c r="C29" s="58">
        <f t="shared" si="17"/>
        <v>640.31820000000005</v>
      </c>
      <c r="D29" s="58">
        <f t="shared" si="18"/>
        <v>28009.209100000004</v>
      </c>
      <c r="E29" s="64">
        <f t="shared" si="7"/>
        <v>11.332913610855606</v>
      </c>
      <c r="F29" s="59">
        <v>5</v>
      </c>
      <c r="G29" s="59">
        <v>0.4</v>
      </c>
      <c r="H29" s="60">
        <f t="shared" si="1"/>
        <v>127.58373151695058</v>
      </c>
      <c r="I29" s="61">
        <f t="shared" si="14"/>
        <v>0.39705771264628109</v>
      </c>
      <c r="J29" s="57">
        <v>38</v>
      </c>
      <c r="K29" s="57">
        <v>37.5</v>
      </c>
      <c r="L29" s="62">
        <f t="shared" si="16"/>
        <v>4.5</v>
      </c>
      <c r="M29" s="62">
        <v>4.25</v>
      </c>
      <c r="N29" s="60">
        <f t="shared" si="9"/>
        <v>33.5</v>
      </c>
      <c r="O29" s="60">
        <f t="shared" si="10"/>
        <v>33.25</v>
      </c>
      <c r="P29" s="61">
        <f t="shared" si="11"/>
        <v>7.7519379844961239E-3</v>
      </c>
      <c r="Q29" s="60">
        <f>Escoamento!P28</f>
        <v>2.0895731931790351</v>
      </c>
      <c r="R29" s="63">
        <f t="shared" si="12"/>
        <v>0.25722956331683133</v>
      </c>
      <c r="T29" t="s">
        <v>150</v>
      </c>
      <c r="U29">
        <v>41.5</v>
      </c>
      <c r="V29">
        <v>41.5</v>
      </c>
      <c r="W29">
        <v>1.75</v>
      </c>
      <c r="X29">
        <v>2</v>
      </c>
    </row>
    <row r="30" spans="1:25" x14ac:dyDescent="0.3">
      <c r="A30" s="56" t="s">
        <v>131</v>
      </c>
      <c r="B30" s="57">
        <v>32.25</v>
      </c>
      <c r="C30" s="58">
        <f t="shared" si="17"/>
        <v>640.31820000000005</v>
      </c>
      <c r="D30" s="58">
        <f t="shared" si="18"/>
        <v>28649.527300000005</v>
      </c>
      <c r="E30" s="64">
        <f t="shared" si="7"/>
        <v>11.590143174172438</v>
      </c>
      <c r="F30" s="59">
        <v>5</v>
      </c>
      <c r="G30" s="59">
        <v>0.4</v>
      </c>
      <c r="H30" s="60">
        <f t="shared" si="1"/>
        <v>126.83398119253027</v>
      </c>
      <c r="I30" s="61">
        <f t="shared" si="14"/>
        <v>0.40374817852700928</v>
      </c>
      <c r="J30" s="57">
        <v>37.5</v>
      </c>
      <c r="K30" s="57">
        <v>37</v>
      </c>
      <c r="L30" s="62">
        <f t="shared" si="16"/>
        <v>4.25</v>
      </c>
      <c r="M30" s="62">
        <v>4</v>
      </c>
      <c r="N30" s="60">
        <f t="shared" si="9"/>
        <v>33.25</v>
      </c>
      <c r="O30" s="60">
        <f t="shared" si="10"/>
        <v>33</v>
      </c>
      <c r="P30" s="61">
        <f t="shared" si="11"/>
        <v>7.7519379844961239E-3</v>
      </c>
      <c r="Q30" s="60">
        <f>Escoamento!P29</f>
        <v>2.0966213298413194</v>
      </c>
      <c r="R30" s="63">
        <f t="shared" si="12"/>
        <v>0.25636484392757758</v>
      </c>
      <c r="T30" t="s">
        <v>151</v>
      </c>
      <c r="U30">
        <v>41.5</v>
      </c>
      <c r="V30">
        <v>41</v>
      </c>
      <c r="W30">
        <v>2</v>
      </c>
      <c r="X30">
        <v>1.75</v>
      </c>
      <c r="Y30">
        <f>635.2286</f>
        <v>635.22860000000003</v>
      </c>
    </row>
    <row r="31" spans="1:25" x14ac:dyDescent="0.3">
      <c r="A31" s="56" t="s">
        <v>157</v>
      </c>
      <c r="B31" s="57">
        <v>32.25</v>
      </c>
      <c r="C31" s="58">
        <f t="shared" si="17"/>
        <v>640.31820000000005</v>
      </c>
      <c r="D31" s="58">
        <f t="shared" si="18"/>
        <v>29289.845500000007</v>
      </c>
      <c r="E31" s="64">
        <f t="shared" si="7"/>
        <v>11.846508018100016</v>
      </c>
      <c r="F31" s="59">
        <v>5</v>
      </c>
      <c r="G31" s="59">
        <v>0.4</v>
      </c>
      <c r="H31" s="60">
        <f t="shared" si="1"/>
        <v>126.09569434885704</v>
      </c>
      <c r="I31" s="61">
        <f t="shared" si="14"/>
        <v>0.41036926729924966</v>
      </c>
      <c r="J31" s="57">
        <v>37</v>
      </c>
      <c r="K31" s="57">
        <v>36</v>
      </c>
      <c r="L31" s="62">
        <f t="shared" si="16"/>
        <v>4</v>
      </c>
      <c r="M31" s="62">
        <v>3.25</v>
      </c>
      <c r="N31" s="60">
        <f t="shared" si="9"/>
        <v>33</v>
      </c>
      <c r="O31" s="60">
        <f t="shared" si="10"/>
        <v>32.75</v>
      </c>
      <c r="P31" s="61">
        <f t="shared" si="11"/>
        <v>7.7519379844961239E-3</v>
      </c>
      <c r="Q31" s="60">
        <f>Escoamento!P30</f>
        <v>2.103375825810966</v>
      </c>
      <c r="R31" s="63">
        <f t="shared" si="12"/>
        <v>0.25554158862349979</v>
      </c>
      <c r="T31" t="s">
        <v>170</v>
      </c>
      <c r="U31">
        <v>41</v>
      </c>
      <c r="V31">
        <v>40</v>
      </c>
      <c r="W31">
        <v>1.75</v>
      </c>
      <c r="X31">
        <v>1.1000000000000001</v>
      </c>
      <c r="Y31">
        <v>149.458</v>
      </c>
    </row>
    <row r="32" spans="1:25" x14ac:dyDescent="0.3">
      <c r="A32" s="56" t="s">
        <v>142</v>
      </c>
      <c r="B32" s="57">
        <v>32.25</v>
      </c>
      <c r="C32" s="58">
        <f>290.6018</f>
        <v>290.60180000000003</v>
      </c>
      <c r="D32" s="58">
        <f t="shared" si="18"/>
        <v>29580.447300000007</v>
      </c>
      <c r="E32" s="64">
        <f t="shared" si="7"/>
        <v>12.102049606723515</v>
      </c>
      <c r="F32" s="59">
        <v>5</v>
      </c>
      <c r="G32" s="59">
        <v>0.4</v>
      </c>
      <c r="H32" s="60">
        <f t="shared" si="1"/>
        <v>125.36850376042116</v>
      </c>
      <c r="I32" s="61">
        <f t="shared" si="14"/>
        <v>0.41205071317388792</v>
      </c>
      <c r="J32" s="57">
        <v>36</v>
      </c>
      <c r="K32" s="57">
        <v>33.5</v>
      </c>
      <c r="L32" s="62">
        <f t="shared" si="16"/>
        <v>3.25</v>
      </c>
      <c r="M32" s="62">
        <v>1.1000000000000001</v>
      </c>
      <c r="N32" s="60">
        <f t="shared" si="9"/>
        <v>32.75</v>
      </c>
      <c r="O32" s="60">
        <f t="shared" si="10"/>
        <v>32.4</v>
      </c>
      <c r="P32" s="61">
        <f t="shared" si="11"/>
        <v>1.0852713178294617E-2</v>
      </c>
      <c r="Q32" s="60">
        <f>Escoamento!P31</f>
        <v>2.4029108040515581</v>
      </c>
      <c r="R32" s="63">
        <f t="shared" si="12"/>
        <v>0.22368703785996508</v>
      </c>
      <c r="T32" t="s">
        <v>152</v>
      </c>
      <c r="U32">
        <v>40</v>
      </c>
      <c r="V32">
        <v>37</v>
      </c>
      <c r="W32">
        <v>1.1000000000000001</v>
      </c>
      <c r="X32">
        <v>1.1000000000000001</v>
      </c>
      <c r="Y32" s="39">
        <f>SUM(Y30:Y31)</f>
        <v>784.6866</v>
      </c>
    </row>
    <row r="33" spans="1:24" x14ac:dyDescent="0.3">
      <c r="A33" s="56" t="s">
        <v>158</v>
      </c>
      <c r="B33" s="57">
        <f>62.8162/2</f>
        <v>31.408100000000001</v>
      </c>
      <c r="C33" s="58">
        <f>819.017+411.3233</f>
        <v>1230.3403000000001</v>
      </c>
      <c r="D33" s="58">
        <f>C33</f>
        <v>1230.3403000000001</v>
      </c>
      <c r="E33" s="64">
        <f t="shared" si="7"/>
        <v>12.325736644583481</v>
      </c>
      <c r="F33" s="59">
        <v>5</v>
      </c>
      <c r="G33" s="59">
        <v>0.4</v>
      </c>
      <c r="H33" s="60">
        <f t="shared" si="1"/>
        <v>124.73898913607829</v>
      </c>
      <c r="I33" s="61">
        <f t="shared" si="14"/>
        <v>1.7052378368375483E-2</v>
      </c>
      <c r="J33" s="57">
        <v>42</v>
      </c>
      <c r="K33" s="57">
        <v>42.5</v>
      </c>
      <c r="L33" s="62">
        <v>1.1000000000000001</v>
      </c>
      <c r="M33" s="62">
        <v>1.75</v>
      </c>
      <c r="N33" s="60">
        <f t="shared" si="9"/>
        <v>40.9</v>
      </c>
      <c r="O33" s="60">
        <f t="shared" si="10"/>
        <v>40.75</v>
      </c>
      <c r="P33" s="61">
        <f t="shared" si="11"/>
        <v>4.7758380799856909E-3</v>
      </c>
      <c r="Q33" s="60">
        <f>Escoamento!P32</f>
        <v>0.80192034566645254</v>
      </c>
      <c r="R33" s="63">
        <f t="shared" si="12"/>
        <v>0.65276849023988059</v>
      </c>
      <c r="T33" t="s">
        <v>153</v>
      </c>
      <c r="U33">
        <v>37</v>
      </c>
      <c r="V33">
        <v>32.5</v>
      </c>
      <c r="W33">
        <v>1.1000000000000001</v>
      </c>
      <c r="X33">
        <v>1.1000000000000001</v>
      </c>
    </row>
    <row r="34" spans="1:24" x14ac:dyDescent="0.3">
      <c r="A34" s="56" t="s">
        <v>145</v>
      </c>
      <c r="B34" s="57">
        <f>B33</f>
        <v>31.408100000000001</v>
      </c>
      <c r="C34" s="58">
        <f>586.1429+941.44</f>
        <v>1527.5829000000001</v>
      </c>
      <c r="D34" s="58">
        <f>C34+D33</f>
        <v>2757.9232000000002</v>
      </c>
      <c r="E34" s="64">
        <f t="shared" si="7"/>
        <v>12.978505134823362</v>
      </c>
      <c r="F34" s="59">
        <v>5</v>
      </c>
      <c r="G34" s="59">
        <v>0.4</v>
      </c>
      <c r="H34" s="60">
        <f t="shared" si="1"/>
        <v>122.93846288204739</v>
      </c>
      <c r="I34" s="61">
        <f t="shared" si="14"/>
        <v>3.7672759883859715E-2</v>
      </c>
      <c r="J34" s="57">
        <v>42.5</v>
      </c>
      <c r="K34" s="57">
        <v>42</v>
      </c>
      <c r="L34" s="62">
        <f>M33</f>
        <v>1.75</v>
      </c>
      <c r="M34" s="62">
        <v>1.5</v>
      </c>
      <c r="N34" s="60">
        <f t="shared" si="9"/>
        <v>40.75</v>
      </c>
      <c r="O34" s="60">
        <f t="shared" si="10"/>
        <v>40.5</v>
      </c>
      <c r="P34" s="61">
        <f t="shared" si="11"/>
        <v>7.9597301333095595E-3</v>
      </c>
      <c r="Q34" s="60">
        <f>Escoamento!P33</f>
        <v>1.1522061804641066</v>
      </c>
      <c r="R34" s="63">
        <f t="shared" si="12"/>
        <v>0.45431828279421421</v>
      </c>
    </row>
    <row r="35" spans="1:24" x14ac:dyDescent="0.3">
      <c r="A35" s="56" t="s">
        <v>146</v>
      </c>
      <c r="B35" s="57">
        <f>75.6424/2</f>
        <v>37.821199999999997</v>
      </c>
      <c r="C35" s="58">
        <f>797.7194+926.7808</f>
        <v>1724.5001999999999</v>
      </c>
      <c r="D35" s="58">
        <f t="shared" si="18"/>
        <v>4482.4233999999997</v>
      </c>
      <c r="E35" s="64">
        <f t="shared" si="7"/>
        <v>13.432823417617575</v>
      </c>
      <c r="F35" s="59">
        <v>5</v>
      </c>
      <c r="G35" s="59">
        <v>0.4</v>
      </c>
      <c r="H35" s="60">
        <f t="shared" si="1"/>
        <v>121.71647328201813</v>
      </c>
      <c r="I35" s="61">
        <f t="shared" si="14"/>
        <v>6.0620529778310318E-2</v>
      </c>
      <c r="J35" s="57">
        <v>42</v>
      </c>
      <c r="K35" s="57">
        <v>42</v>
      </c>
      <c r="L35" s="62">
        <f>M34</f>
        <v>1.5</v>
      </c>
      <c r="M35" s="62">
        <v>1.75</v>
      </c>
      <c r="N35" s="60">
        <f t="shared" si="9"/>
        <v>40.5</v>
      </c>
      <c r="O35" s="60">
        <f t="shared" si="10"/>
        <v>40.25</v>
      </c>
      <c r="P35" s="61">
        <f t="shared" si="11"/>
        <v>6.6100493902890448E-3</v>
      </c>
      <c r="Q35" s="60">
        <f>Escoamento!P34</f>
        <v>1.2238957376575244</v>
      </c>
      <c r="R35" s="63">
        <f t="shared" si="12"/>
        <v>0.5150384252009883</v>
      </c>
    </row>
    <row r="36" spans="1:24" x14ac:dyDescent="0.3">
      <c r="A36" s="56" t="s">
        <v>147</v>
      </c>
      <c r="B36" s="57">
        <f>B35</f>
        <v>37.821199999999997</v>
      </c>
      <c r="C36" s="58">
        <f>639.3616+799.8252</f>
        <v>1439.1867999999999</v>
      </c>
      <c r="D36" s="58">
        <f t="shared" si="18"/>
        <v>5921.6101999999992</v>
      </c>
      <c r="E36" s="64">
        <f t="shared" si="7"/>
        <v>13.947861842818563</v>
      </c>
      <c r="F36" s="59">
        <v>5</v>
      </c>
      <c r="G36" s="59">
        <v>0.4</v>
      </c>
      <c r="H36" s="60">
        <f t="shared" si="1"/>
        <v>120.36096369536267</v>
      </c>
      <c r="I36" s="61">
        <f t="shared" si="14"/>
        <v>7.9192301144476576E-2</v>
      </c>
      <c r="J36" s="57">
        <v>42</v>
      </c>
      <c r="K36" s="57">
        <v>41.5</v>
      </c>
      <c r="L36" s="62">
        <f>M35</f>
        <v>1.75</v>
      </c>
      <c r="M36" s="62">
        <v>1.5</v>
      </c>
      <c r="N36" s="60">
        <f t="shared" si="9"/>
        <v>40.25</v>
      </c>
      <c r="O36" s="60">
        <f t="shared" si="10"/>
        <v>40</v>
      </c>
      <c r="P36" s="61">
        <f t="shared" si="11"/>
        <v>6.6100493902890448E-3</v>
      </c>
      <c r="Q36" s="60">
        <f>Escoamento!P35</f>
        <v>1.3224400286908999</v>
      </c>
      <c r="R36" s="63">
        <f t="shared" si="12"/>
        <v>0.47665929619305913</v>
      </c>
    </row>
    <row r="37" spans="1:24" x14ac:dyDescent="0.3">
      <c r="A37" s="56" t="s">
        <v>148</v>
      </c>
      <c r="B37" s="57">
        <f>75.6424/2</f>
        <v>37.821199999999997</v>
      </c>
      <c r="C37" s="58">
        <f t="shared" ref="C37:C38" si="19">639.3616+799.8252</f>
        <v>1439.1867999999999</v>
      </c>
      <c r="D37" s="58">
        <f t="shared" si="18"/>
        <v>7360.7969999999987</v>
      </c>
      <c r="E37" s="64">
        <f t="shared" si="7"/>
        <v>14.424521139011622</v>
      </c>
      <c r="F37" s="59">
        <v>5</v>
      </c>
      <c r="G37" s="59">
        <v>0.4</v>
      </c>
      <c r="H37" s="60">
        <f t="shared" si="1"/>
        <v>119.13377458263692</v>
      </c>
      <c r="I37" s="61">
        <f t="shared" si="14"/>
        <v>9.743550339406111E-2</v>
      </c>
      <c r="J37" s="57">
        <v>41.5</v>
      </c>
      <c r="K37" s="57">
        <v>41</v>
      </c>
      <c r="L37" s="62">
        <f>M36</f>
        <v>1.5</v>
      </c>
      <c r="M37" s="62">
        <v>1.1000000000000001</v>
      </c>
      <c r="N37" s="60">
        <f t="shared" si="9"/>
        <v>40</v>
      </c>
      <c r="O37" s="60">
        <f t="shared" si="10"/>
        <v>39.9</v>
      </c>
      <c r="P37" s="61">
        <f t="shared" si="11"/>
        <v>2.6440197561156554E-3</v>
      </c>
      <c r="Q37" s="60">
        <f>Escoamento!P36</f>
        <v>0.96165846443963932</v>
      </c>
      <c r="R37" s="63">
        <f t="shared" si="12"/>
        <v>0.65548566007854125</v>
      </c>
    </row>
    <row r="38" spans="1:24" x14ac:dyDescent="0.3">
      <c r="A38" s="56" t="s">
        <v>167</v>
      </c>
      <c r="B38" s="57">
        <f>75.6424/2</f>
        <v>37.821199999999997</v>
      </c>
      <c r="C38" s="58">
        <f t="shared" si="19"/>
        <v>1439.1867999999999</v>
      </c>
      <c r="D38" s="58">
        <f t="shared" ref="D38" si="20">C38+D37</f>
        <v>8799.9837999999982</v>
      </c>
      <c r="E38" s="64">
        <f t="shared" si="7"/>
        <v>15.080006799090164</v>
      </c>
      <c r="F38" s="59">
        <v>5</v>
      </c>
      <c r="G38" s="59">
        <v>0.4</v>
      </c>
      <c r="H38" s="60">
        <f t="shared" si="1"/>
        <v>117.48752233279293</v>
      </c>
      <c r="I38" s="61">
        <f t="shared" si="14"/>
        <v>0.1148764770256351</v>
      </c>
      <c r="J38" s="57">
        <v>41</v>
      </c>
      <c r="K38" s="57">
        <v>41</v>
      </c>
      <c r="L38" s="62">
        <v>1.1000000000000001</v>
      </c>
      <c r="M38" s="62">
        <v>1.2</v>
      </c>
      <c r="N38" s="60">
        <f t="shared" ref="N38" si="21">J38-L38</f>
        <v>39.9</v>
      </c>
      <c r="O38" s="60">
        <f t="shared" ref="O38" si="22">K38-M38</f>
        <v>39.799999999999997</v>
      </c>
      <c r="P38" s="61">
        <f t="shared" ref="P38" si="23">(N38-O38)/B38</f>
        <v>2.6440197561156554E-3</v>
      </c>
      <c r="Q38" s="60">
        <f>Escoamento!P37</f>
        <v>1.0181212038356382</v>
      </c>
      <c r="R38" s="63">
        <f t="shared" ref="R38" si="24">(B38/Q38)/60</f>
        <v>0.61913388205506348</v>
      </c>
    </row>
    <row r="39" spans="1:24" x14ac:dyDescent="0.3">
      <c r="A39" s="56" t="s">
        <v>141</v>
      </c>
      <c r="B39" s="57">
        <f>89.5706/2</f>
        <v>44.785299999999999</v>
      </c>
      <c r="C39" s="58">
        <f>799.6123+316.4928</f>
        <v>1116.1051</v>
      </c>
      <c r="D39" s="58">
        <f>C39+D37</f>
        <v>8476.9020999999993</v>
      </c>
      <c r="E39" s="64">
        <f t="shared" si="7"/>
        <v>15.699140681145227</v>
      </c>
      <c r="F39" s="59">
        <v>5</v>
      </c>
      <c r="G39" s="59">
        <v>0.4</v>
      </c>
      <c r="H39" s="60">
        <f t="shared" si="1"/>
        <v>115.97486811965807</v>
      </c>
      <c r="I39" s="61">
        <f t="shared" si="14"/>
        <v>0.10923417812341694</v>
      </c>
      <c r="J39" s="57">
        <v>41</v>
      </c>
      <c r="K39" s="57">
        <v>41.5</v>
      </c>
      <c r="L39" s="62">
        <f>M38</f>
        <v>1.2</v>
      </c>
      <c r="M39" s="62">
        <v>1.75</v>
      </c>
      <c r="N39" s="60">
        <f t="shared" si="9"/>
        <v>39.799999999999997</v>
      </c>
      <c r="O39" s="60">
        <f t="shared" si="10"/>
        <v>39.75</v>
      </c>
      <c r="P39" s="61">
        <f t="shared" si="11"/>
        <v>1.1164377597112703E-3</v>
      </c>
      <c r="Q39" s="60">
        <f>Escoamento!P38</f>
        <v>0.72108681717973322</v>
      </c>
      <c r="R39" s="63">
        <f t="shared" si="12"/>
        <v>1.0351342569068471</v>
      </c>
    </row>
    <row r="40" spans="1:24" x14ac:dyDescent="0.3">
      <c r="A40" s="56" t="s">
        <v>150</v>
      </c>
      <c r="B40" s="57">
        <f>B39</f>
        <v>44.785299999999999</v>
      </c>
      <c r="C40" s="58">
        <f>799.6123+644.6044</f>
        <v>1444.2166999999999</v>
      </c>
      <c r="D40" s="58">
        <f t="shared" si="18"/>
        <v>9921.1188000000002</v>
      </c>
      <c r="E40" s="64">
        <f t="shared" si="7"/>
        <v>16.734274938052074</v>
      </c>
      <c r="F40" s="59">
        <v>5</v>
      </c>
      <c r="G40" s="59">
        <v>0.4</v>
      </c>
      <c r="H40" s="60">
        <f t="shared" si="1"/>
        <v>113.53317563413414</v>
      </c>
      <c r="I40" s="61">
        <f t="shared" si="14"/>
        <v>0.12515290257861225</v>
      </c>
      <c r="J40" s="57">
        <v>41.5</v>
      </c>
      <c r="K40" s="57">
        <v>41.5</v>
      </c>
      <c r="L40" s="62">
        <f>M39</f>
        <v>1.75</v>
      </c>
      <c r="M40" s="62">
        <v>2</v>
      </c>
      <c r="N40" s="60">
        <f t="shared" si="9"/>
        <v>39.75</v>
      </c>
      <c r="O40" s="60">
        <f t="shared" si="10"/>
        <v>39.5</v>
      </c>
      <c r="P40" s="61">
        <f t="shared" si="11"/>
        <v>5.5821887985566697E-3</v>
      </c>
      <c r="Q40" s="60">
        <f>Escoamento!P39</f>
        <v>1.3450225236555422</v>
      </c>
      <c r="R40" s="63">
        <f t="shared" si="12"/>
        <v>0.55495105363590469</v>
      </c>
    </row>
    <row r="41" spans="1:24" x14ac:dyDescent="0.3">
      <c r="A41" s="56" t="s">
        <v>151</v>
      </c>
      <c r="B41" s="57">
        <f>89.6481/2</f>
        <v>44.82405</v>
      </c>
      <c r="C41" s="58">
        <f>959.8747+315.5675</f>
        <v>1275.4422</v>
      </c>
      <c r="D41" s="58">
        <f t="shared" si="18"/>
        <v>11196.561</v>
      </c>
      <c r="E41" s="64">
        <f t="shared" si="7"/>
        <v>17.289225991687978</v>
      </c>
      <c r="F41" s="59">
        <v>5</v>
      </c>
      <c r="G41" s="59">
        <v>0.4</v>
      </c>
      <c r="H41" s="60">
        <f t="shared" si="1"/>
        <v>112.2670791958417</v>
      </c>
      <c r="I41" s="61">
        <f t="shared" si="14"/>
        <v>0.13966724450089696</v>
      </c>
      <c r="J41" s="57">
        <v>41.5</v>
      </c>
      <c r="K41" s="57">
        <v>41</v>
      </c>
      <c r="L41" s="62">
        <f>M40</f>
        <v>2</v>
      </c>
      <c r="M41" s="62">
        <v>1.75</v>
      </c>
      <c r="N41" s="60">
        <f t="shared" si="9"/>
        <v>39.5</v>
      </c>
      <c r="O41" s="60">
        <f t="shared" si="10"/>
        <v>39.25</v>
      </c>
      <c r="P41" s="61">
        <f t="shared" si="11"/>
        <v>5.577363045061747E-3</v>
      </c>
      <c r="Q41" s="60">
        <f>Escoamento!P40</f>
        <v>1.3957894972901201</v>
      </c>
      <c r="R41" s="63">
        <f t="shared" si="12"/>
        <v>0.53522934615169926</v>
      </c>
    </row>
    <row r="42" spans="1:24" x14ac:dyDescent="0.3">
      <c r="A42" s="56" t="s">
        <v>170</v>
      </c>
      <c r="B42" s="57">
        <f>B41</f>
        <v>44.82405</v>
      </c>
      <c r="C42" s="58">
        <f>959.8747+479.6874</f>
        <v>1439.5621000000001</v>
      </c>
      <c r="D42" s="58">
        <f t="shared" si="18"/>
        <v>12636.123100000001</v>
      </c>
      <c r="E42" s="64">
        <f t="shared" si="7"/>
        <v>17.824455337839677</v>
      </c>
      <c r="F42" s="59">
        <v>5</v>
      </c>
      <c r="G42" s="59">
        <v>0.4</v>
      </c>
      <c r="H42" s="60">
        <f t="shared" si="1"/>
        <v>111.0731243949639</v>
      </c>
      <c r="I42" s="61">
        <f t="shared" si="14"/>
        <v>0.15594818588404188</v>
      </c>
      <c r="J42" s="57">
        <v>41</v>
      </c>
      <c r="K42" s="57">
        <v>40</v>
      </c>
      <c r="L42" s="62">
        <f>M41</f>
        <v>1.75</v>
      </c>
      <c r="M42" s="62">
        <v>1.1000000000000001</v>
      </c>
      <c r="N42" s="60">
        <f t="shared" ref="N42" si="25">J42-L42</f>
        <v>39.25</v>
      </c>
      <c r="O42" s="60">
        <f t="shared" ref="O42" si="26">K42-M42</f>
        <v>38.9</v>
      </c>
      <c r="P42" s="61">
        <f t="shared" ref="P42" si="27">(N42-O42)/B42</f>
        <v>7.8083082630864779E-3</v>
      </c>
      <c r="Q42" s="60">
        <f>Escoamento!P41</f>
        <v>1.64321196771067</v>
      </c>
      <c r="R42" s="63">
        <f t="shared" ref="R42" si="28">(B42/Q42)/60</f>
        <v>0.4546385461401049</v>
      </c>
    </row>
    <row r="43" spans="1:24" x14ac:dyDescent="0.3">
      <c r="A43" s="56" t="s">
        <v>152</v>
      </c>
      <c r="B43" s="57">
        <f>91.6604/2</f>
        <v>45.830199999999998</v>
      </c>
      <c r="C43" s="58">
        <f>959.8757+1355.24/3</f>
        <v>1411.6223666666667</v>
      </c>
      <c r="D43" s="58">
        <f t="shared" si="18"/>
        <v>14047.745466666667</v>
      </c>
      <c r="E43" s="64">
        <f t="shared" si="7"/>
        <v>18.279093883979783</v>
      </c>
      <c r="F43" s="59">
        <v>5</v>
      </c>
      <c r="G43" s="59">
        <v>0.4</v>
      </c>
      <c r="H43" s="60">
        <f t="shared" si="1"/>
        <v>110.07922527427772</v>
      </c>
      <c r="I43" s="61">
        <f t="shared" si="14"/>
        <v>0.171818326424546</v>
      </c>
      <c r="J43" s="57">
        <v>40</v>
      </c>
      <c r="K43" s="57">
        <v>37</v>
      </c>
      <c r="L43" s="62">
        <f>M42</f>
        <v>1.1000000000000001</v>
      </c>
      <c r="M43" s="62">
        <v>1.1000000000000001</v>
      </c>
      <c r="N43" s="60">
        <f t="shared" si="9"/>
        <v>38.9</v>
      </c>
      <c r="O43" s="60">
        <f t="shared" si="10"/>
        <v>35.9</v>
      </c>
      <c r="P43" s="61">
        <f t="shared" si="11"/>
        <v>6.5459020471217669E-2</v>
      </c>
      <c r="Q43" s="60">
        <f>Escoamento!P42</f>
        <v>3.7816837683429045</v>
      </c>
      <c r="R43" s="63">
        <f t="shared" si="12"/>
        <v>0.20198322055928333</v>
      </c>
    </row>
    <row r="44" spans="1:24" x14ac:dyDescent="0.3">
      <c r="A44" s="56" t="s">
        <v>153</v>
      </c>
      <c r="B44" s="57">
        <f>B43</f>
        <v>45.830199999999998</v>
      </c>
      <c r="C44" s="58">
        <f>849.699+1355.24/3</f>
        <v>1301.4456666666665</v>
      </c>
      <c r="D44" s="58">
        <f t="shared" si="18"/>
        <v>15349.191133333334</v>
      </c>
      <c r="E44" s="64">
        <f t="shared" si="7"/>
        <v>18.481077104539068</v>
      </c>
      <c r="F44" s="59">
        <v>5</v>
      </c>
      <c r="G44" s="59">
        <v>0.4</v>
      </c>
      <c r="H44" s="60">
        <f t="shared" si="1"/>
        <v>109.64349543666594</v>
      </c>
      <c r="I44" s="61">
        <f t="shared" si="14"/>
        <v>0.18699321866490518</v>
      </c>
      <c r="J44" s="57">
        <v>37</v>
      </c>
      <c r="K44" s="57">
        <v>32.5</v>
      </c>
      <c r="L44" s="62">
        <v>1.1000000000000001</v>
      </c>
      <c r="M44" s="62">
        <v>1.1000000000000001</v>
      </c>
      <c r="N44" s="60">
        <f t="shared" si="9"/>
        <v>35.9</v>
      </c>
      <c r="O44" s="60">
        <f t="shared" si="10"/>
        <v>31.4</v>
      </c>
      <c r="P44" s="61">
        <f t="shared" si="11"/>
        <v>9.818853070682651E-2</v>
      </c>
      <c r="Q44" s="60">
        <f>Escoamento!P43</f>
        <v>4.5087678043495032</v>
      </c>
      <c r="R44" s="63">
        <f t="shared" si="12"/>
        <v>0.16941140014569195</v>
      </c>
    </row>
    <row r="45" spans="1:24" x14ac:dyDescent="0.3">
      <c r="A45" s="56" t="s">
        <v>159</v>
      </c>
      <c r="B45" s="57">
        <f>78.1004/2</f>
        <v>39.050199999999997</v>
      </c>
      <c r="C45" s="58">
        <f>3676.0253+2572.6723+925.8672+977.8872</f>
        <v>8152.4519999999993</v>
      </c>
      <c r="D45" s="58">
        <f>C45</f>
        <v>8152.4519999999993</v>
      </c>
      <c r="E45" s="64">
        <f t="shared" si="7"/>
        <v>18.650488504684759</v>
      </c>
      <c r="F45" s="59">
        <v>5</v>
      </c>
      <c r="G45" s="59">
        <v>0.4</v>
      </c>
      <c r="H45" s="60">
        <f t="shared" si="1"/>
        <v>109.28075183878006</v>
      </c>
      <c r="I45" s="61">
        <f t="shared" si="14"/>
        <v>9.8989564876618474E-2</v>
      </c>
      <c r="J45" s="57">
        <v>39.5</v>
      </c>
      <c r="K45" s="57">
        <v>36</v>
      </c>
      <c r="L45" s="62">
        <v>1.1000000000000001</v>
      </c>
      <c r="M45" s="62">
        <v>1.1000000000000001</v>
      </c>
      <c r="N45" s="60">
        <f t="shared" si="9"/>
        <v>38.4</v>
      </c>
      <c r="O45" s="60">
        <f t="shared" si="10"/>
        <v>34.9</v>
      </c>
      <c r="P45" s="61">
        <f t="shared" si="11"/>
        <v>8.9628222134585753E-2</v>
      </c>
      <c r="Q45" s="60">
        <f>Escoamento!P44</f>
        <v>3.7245337764672595</v>
      </c>
      <c r="R45" s="63">
        <f t="shared" si="12"/>
        <v>0.1747431237646041</v>
      </c>
    </row>
    <row r="46" spans="1:24" x14ac:dyDescent="0.3">
      <c r="A46" s="56" t="s">
        <v>160</v>
      </c>
      <c r="B46" s="57">
        <f>B45</f>
        <v>39.050199999999997</v>
      </c>
      <c r="C46" s="58">
        <f>264.2988+727.145+255.6445</f>
        <v>1247.0882999999999</v>
      </c>
      <c r="D46" s="58">
        <f>D45+C46</f>
        <v>9399.5402999999988</v>
      </c>
      <c r="E46" s="64">
        <f t="shared" si="7"/>
        <v>18.825231628449362</v>
      </c>
      <c r="F46" s="59">
        <v>5</v>
      </c>
      <c r="G46" s="59">
        <v>0.4</v>
      </c>
      <c r="H46" s="60">
        <f t="shared" si="1"/>
        <v>108.90916359341627</v>
      </c>
      <c r="I46" s="61">
        <f t="shared" si="14"/>
        <v>0.11374400802617876</v>
      </c>
      <c r="J46" s="57">
        <v>36</v>
      </c>
      <c r="K46" s="57">
        <v>30</v>
      </c>
      <c r="L46" s="62">
        <v>1.1000000000000001</v>
      </c>
      <c r="M46" s="62">
        <v>1.1000000000000001</v>
      </c>
      <c r="N46" s="60">
        <f t="shared" si="9"/>
        <v>34.9</v>
      </c>
      <c r="O46" s="60">
        <f t="shared" si="10"/>
        <v>28.9</v>
      </c>
      <c r="P46" s="61">
        <f t="shared" si="11"/>
        <v>0.15364838080214699</v>
      </c>
      <c r="Q46" s="60">
        <f>Escoamento!P45</f>
        <v>4.6068174010711855</v>
      </c>
      <c r="R46" s="63">
        <f t="shared" si="12"/>
        <v>0.14127685341193094</v>
      </c>
    </row>
    <row r="47" spans="1:24" x14ac:dyDescent="0.3">
      <c r="A47" s="56" t="s">
        <v>161</v>
      </c>
      <c r="B47" s="57">
        <f>52.0334/2</f>
        <v>26.0167</v>
      </c>
      <c r="C47" s="58">
        <f>317.4239+452.4553</f>
        <v>769.87920000000008</v>
      </c>
      <c r="D47" s="58">
        <f t="shared" si="18"/>
        <v>10169.419499999998</v>
      </c>
      <c r="E47" s="64">
        <f t="shared" si="7"/>
        <v>18.966508481861293</v>
      </c>
      <c r="F47" s="59">
        <v>5</v>
      </c>
      <c r="G47" s="59">
        <v>0.4</v>
      </c>
      <c r="H47" s="60">
        <f t="shared" si="1"/>
        <v>108.61063133986268</v>
      </c>
      <c r="I47" s="61">
        <f t="shared" si="14"/>
        <v>0.12272300802832339</v>
      </c>
      <c r="J47" s="65">
        <v>30</v>
      </c>
      <c r="K47" s="65">
        <v>32.5</v>
      </c>
      <c r="L47" s="49">
        <v>1.1000000000000001</v>
      </c>
      <c r="M47" s="49">
        <v>3.75</v>
      </c>
      <c r="N47" s="60">
        <f t="shared" si="9"/>
        <v>28.9</v>
      </c>
      <c r="O47" s="60">
        <f t="shared" si="10"/>
        <v>28.75</v>
      </c>
      <c r="P47" s="61">
        <f t="shared" si="11"/>
        <v>5.7655275265501996E-3</v>
      </c>
      <c r="Q47" s="60">
        <f>Escoamento!P46</f>
        <v>1.363749535163401</v>
      </c>
      <c r="R47" s="63">
        <f t="shared" si="12"/>
        <v>0.31795550098186642</v>
      </c>
    </row>
    <row r="48" spans="1:24" x14ac:dyDescent="0.3">
      <c r="A48" s="56" t="s">
        <v>162</v>
      </c>
      <c r="B48" s="57">
        <f>B47</f>
        <v>26.0167</v>
      </c>
      <c r="C48" s="58">
        <f>3595.5887+2046.3374</f>
        <v>5641.9260999999997</v>
      </c>
      <c r="D48" s="58">
        <f t="shared" si="18"/>
        <v>15811.345599999997</v>
      </c>
      <c r="E48" s="64">
        <f t="shared" si="7"/>
        <v>19.28446398284316</v>
      </c>
      <c r="F48" s="59">
        <v>5</v>
      </c>
      <c r="G48" s="59">
        <v>0.4</v>
      </c>
      <c r="H48" s="60">
        <f t="shared" si="1"/>
        <v>107.94486405938096</v>
      </c>
      <c r="I48" s="61">
        <f t="shared" si="14"/>
        <v>0.18963928348754347</v>
      </c>
      <c r="J48" s="57">
        <v>32.5</v>
      </c>
      <c r="K48" s="57">
        <v>31.5</v>
      </c>
      <c r="L48" s="62">
        <f t="shared" ref="L48:L55" si="29">M47</f>
        <v>3.75</v>
      </c>
      <c r="M48" s="62">
        <v>3</v>
      </c>
      <c r="N48" s="60">
        <f t="shared" si="9"/>
        <v>28.75</v>
      </c>
      <c r="O48" s="60">
        <f t="shared" si="10"/>
        <v>28.5</v>
      </c>
      <c r="P48" s="61">
        <f t="shared" si="11"/>
        <v>9.6092125442504232E-3</v>
      </c>
      <c r="Q48" s="60">
        <f>Escoamento!P47</f>
        <v>1.837884634519841</v>
      </c>
      <c r="R48" s="63">
        <f t="shared" si="12"/>
        <v>0.23592975234811214</v>
      </c>
    </row>
    <row r="49" spans="1:18" x14ac:dyDescent="0.3">
      <c r="A49" s="56" t="s">
        <v>163</v>
      </c>
      <c r="B49" s="57">
        <f>56.6408/2</f>
        <v>28.320399999999999</v>
      </c>
      <c r="C49" s="58">
        <f>212.201+591.2476+787.8175</f>
        <v>1591.2661000000001</v>
      </c>
      <c r="D49" s="58">
        <f t="shared" si="18"/>
        <v>17402.611699999998</v>
      </c>
      <c r="E49" s="64">
        <f t="shared" si="7"/>
        <v>19.520393735191274</v>
      </c>
      <c r="F49" s="59">
        <v>5</v>
      </c>
      <c r="G49" s="59">
        <v>0.4</v>
      </c>
      <c r="H49" s="60">
        <f t="shared" si="1"/>
        <v>107.45623867754833</v>
      </c>
      <c r="I49" s="61">
        <f t="shared" si="14"/>
        <v>0.20777991071643279</v>
      </c>
      <c r="J49" s="65">
        <v>31.5</v>
      </c>
      <c r="K49" s="65">
        <v>30.5</v>
      </c>
      <c r="L49" s="49">
        <f t="shared" si="29"/>
        <v>3</v>
      </c>
      <c r="M49" s="49">
        <v>2.25</v>
      </c>
      <c r="N49" s="60">
        <f t="shared" si="9"/>
        <v>28.5</v>
      </c>
      <c r="O49" s="60">
        <f t="shared" si="10"/>
        <v>28.25</v>
      </c>
      <c r="P49" s="61">
        <f t="shared" si="11"/>
        <v>8.8275589327834348E-3</v>
      </c>
      <c r="Q49" s="60">
        <f>Escoamento!P48</f>
        <v>1.8586380981864199</v>
      </c>
      <c r="R49" s="63">
        <f t="shared" si="12"/>
        <v>0.25395297079470752</v>
      </c>
    </row>
    <row r="50" spans="1:18" x14ac:dyDescent="0.3">
      <c r="A50" s="56" t="s">
        <v>164</v>
      </c>
      <c r="B50" s="57">
        <f>B49</f>
        <v>28.320399999999999</v>
      </c>
      <c r="C50" s="58">
        <f>1686.5374+926.4233+1355.24/3</f>
        <v>3064.7073666666665</v>
      </c>
      <c r="D50" s="58">
        <f t="shared" si="18"/>
        <v>20467.319066666663</v>
      </c>
      <c r="E50" s="64">
        <f t="shared" si="7"/>
        <v>19.77434670598598</v>
      </c>
      <c r="F50" s="59">
        <v>5</v>
      </c>
      <c r="G50" s="59">
        <v>0.4</v>
      </c>
      <c r="H50" s="60">
        <f t="shared" si="1"/>
        <v>106.9353337568818</v>
      </c>
      <c r="I50" s="61">
        <f t="shared" si="14"/>
        <v>0.24318662172251007</v>
      </c>
      <c r="J50" s="57">
        <v>30.5</v>
      </c>
      <c r="K50" s="57">
        <v>31</v>
      </c>
      <c r="L50" s="62">
        <f t="shared" si="29"/>
        <v>2.25</v>
      </c>
      <c r="M50" s="62">
        <v>3</v>
      </c>
      <c r="N50" s="60">
        <f t="shared" si="9"/>
        <v>28.25</v>
      </c>
      <c r="O50" s="60">
        <f t="shared" si="10"/>
        <v>28</v>
      </c>
      <c r="P50" s="61">
        <f t="shared" si="11"/>
        <v>8.8275589327834348E-3</v>
      </c>
      <c r="Q50" s="60">
        <f>Escoamento!P49</f>
        <v>1.9015492858361258</v>
      </c>
      <c r="R50" s="63">
        <f t="shared" si="12"/>
        <v>0.24822215768082062</v>
      </c>
    </row>
    <row r="51" spans="1:18" x14ac:dyDescent="0.3">
      <c r="A51" s="56" t="s">
        <v>165</v>
      </c>
      <c r="B51" s="57">
        <f>56.5892/2</f>
        <v>28.294599999999999</v>
      </c>
      <c r="C51" s="58">
        <f>1741.4983</f>
        <v>1741.4983</v>
      </c>
      <c r="D51" s="58">
        <f t="shared" si="18"/>
        <v>22208.817366666663</v>
      </c>
      <c r="E51" s="64">
        <f t="shared" si="7"/>
        <v>20.022568863666802</v>
      </c>
      <c r="F51" s="59">
        <v>5</v>
      </c>
      <c r="G51" s="59">
        <v>0.4</v>
      </c>
      <c r="H51" s="60">
        <f t="shared" si="1"/>
        <v>106.43116798586055</v>
      </c>
      <c r="I51" s="61">
        <f t="shared" si="14"/>
        <v>0.2626344857687774</v>
      </c>
      <c r="J51" s="65">
        <v>31</v>
      </c>
      <c r="K51" s="65">
        <v>32</v>
      </c>
      <c r="L51" s="49">
        <f t="shared" si="29"/>
        <v>3</v>
      </c>
      <c r="M51" s="49">
        <v>4.25</v>
      </c>
      <c r="N51" s="60">
        <f t="shared" si="9"/>
        <v>28</v>
      </c>
      <c r="O51" s="60">
        <f t="shared" si="10"/>
        <v>27.75</v>
      </c>
      <c r="P51" s="61">
        <f t="shared" si="11"/>
        <v>8.8356082079266013E-3</v>
      </c>
      <c r="Q51" s="60">
        <f>Escoamento!P50</f>
        <v>1.9246276439615031</v>
      </c>
      <c r="R51" s="63">
        <f t="shared" si="12"/>
        <v>0.24502228685441205</v>
      </c>
    </row>
    <row r="52" spans="1:18" x14ac:dyDescent="0.3">
      <c r="A52" s="56" t="s">
        <v>166</v>
      </c>
      <c r="B52" s="57">
        <f>B51</f>
        <v>28.294599999999999</v>
      </c>
      <c r="C52" s="58">
        <f>1877.5292</f>
        <v>1877.5291999999999</v>
      </c>
      <c r="D52" s="58">
        <f t="shared" si="18"/>
        <v>24086.346566666663</v>
      </c>
      <c r="E52" s="64">
        <f t="shared" si="7"/>
        <v>20.267591150521213</v>
      </c>
      <c r="F52" s="59">
        <v>5</v>
      </c>
      <c r="G52" s="59">
        <v>0.4</v>
      </c>
      <c r="H52" s="60">
        <f t="shared" si="1"/>
        <v>105.93826328707824</v>
      </c>
      <c r="I52" s="61">
        <f t="shared" si="14"/>
        <v>0.28351841380037185</v>
      </c>
      <c r="J52" s="57">
        <v>32</v>
      </c>
      <c r="K52" s="57">
        <v>32.5</v>
      </c>
      <c r="L52" s="62">
        <f t="shared" si="29"/>
        <v>4.25</v>
      </c>
      <c r="M52" s="49">
        <v>5</v>
      </c>
      <c r="N52" s="60">
        <f t="shared" si="9"/>
        <v>27.75</v>
      </c>
      <c r="O52" s="60">
        <f t="shared" si="10"/>
        <v>27.5</v>
      </c>
      <c r="P52" s="61">
        <f t="shared" si="11"/>
        <v>8.8356082079266013E-3</v>
      </c>
      <c r="Q52" s="60">
        <f>Escoamento!P51</f>
        <v>2.0049808496696038</v>
      </c>
      <c r="R52" s="63">
        <f t="shared" si="12"/>
        <v>0.23520257898940863</v>
      </c>
    </row>
    <row r="53" spans="1:18" x14ac:dyDescent="0.3">
      <c r="A53" s="56" t="s">
        <v>154</v>
      </c>
      <c r="B53" s="57">
        <f>49.3139/2</f>
        <v>24.656949999999998</v>
      </c>
      <c r="C53" s="58">
        <v>1760.5592999999999</v>
      </c>
      <c r="D53" s="58">
        <f>C53+D44</f>
        <v>17109.750433333335</v>
      </c>
      <c r="E53" s="64">
        <f t="shared" si="7"/>
        <v>20.502793729510621</v>
      </c>
      <c r="F53" s="59">
        <v>5</v>
      </c>
      <c r="G53" s="59">
        <v>0.4</v>
      </c>
      <c r="H53" s="60">
        <f t="shared" si="1"/>
        <v>105.46949980104391</v>
      </c>
      <c r="I53" s="61">
        <f t="shared" si="14"/>
        <v>0.20050631332492902</v>
      </c>
      <c r="J53" s="65">
        <v>32.5</v>
      </c>
      <c r="K53" s="65">
        <v>33.5</v>
      </c>
      <c r="L53" s="49">
        <f t="shared" si="29"/>
        <v>5</v>
      </c>
      <c r="M53" s="49">
        <v>6.25</v>
      </c>
      <c r="N53" s="60">
        <f>J53-L53</f>
        <v>27.5</v>
      </c>
      <c r="O53" s="60">
        <f>K53-M53</f>
        <v>27.25</v>
      </c>
      <c r="P53" s="61">
        <f>(N53-O53)/B53</f>
        <v>1.0139129129920774E-2</v>
      </c>
      <c r="Q53" s="60">
        <f>Escoamento!P52</f>
        <v>1.900611729043773</v>
      </c>
      <c r="R53" s="63">
        <f>(B53/Q53)/60</f>
        <v>0.21621942050911233</v>
      </c>
    </row>
    <row r="54" spans="1:18" x14ac:dyDescent="0.3">
      <c r="A54" s="56" t="s">
        <v>168</v>
      </c>
      <c r="B54" s="57">
        <f>49.3139/2</f>
        <v>24.656949999999998</v>
      </c>
      <c r="C54" s="58">
        <f>227.5104+1888.7899</f>
        <v>2116.3002999999999</v>
      </c>
      <c r="D54" s="58">
        <f>C54+D53+D32</f>
        <v>48806.498033333337</v>
      </c>
      <c r="E54" s="64">
        <f t="shared" si="7"/>
        <v>20.719013150019734</v>
      </c>
      <c r="F54" s="59">
        <v>5</v>
      </c>
      <c r="G54" s="59">
        <v>0.4</v>
      </c>
      <c r="H54" s="60">
        <f t="shared" si="1"/>
        <v>105.04231012502119</v>
      </c>
      <c r="I54" s="61">
        <f t="shared" si="14"/>
        <v>0.56963858917040411</v>
      </c>
      <c r="J54" s="57">
        <v>33.5</v>
      </c>
      <c r="K54" s="57">
        <v>33.5</v>
      </c>
      <c r="L54" s="62">
        <f t="shared" si="29"/>
        <v>6.25</v>
      </c>
      <c r="M54" s="62">
        <v>6.5</v>
      </c>
      <c r="N54" s="60">
        <f>J54-L54</f>
        <v>27.25</v>
      </c>
      <c r="O54" s="60">
        <f>K54-M54</f>
        <v>27</v>
      </c>
      <c r="P54" s="61">
        <f>(N54-O54)/B54</f>
        <v>1.0139129129920774E-2</v>
      </c>
      <c r="Q54" s="60">
        <f>Escoamento!P53</f>
        <v>2.4819295157536208</v>
      </c>
      <c r="R54" s="63">
        <f>(B54/Q54)/60</f>
        <v>0.16557648557633789</v>
      </c>
    </row>
    <row r="55" spans="1:18" ht="15" thickBot="1" x14ac:dyDescent="0.35">
      <c r="A55" s="66" t="s">
        <v>169</v>
      </c>
      <c r="B55" s="67">
        <v>63.424700000000001</v>
      </c>
      <c r="C55" s="68">
        <v>0</v>
      </c>
      <c r="D55" s="68">
        <f>C55+D54</f>
        <v>48806.498033333337</v>
      </c>
      <c r="E55" s="64">
        <f t="shared" si="7"/>
        <v>20.884589635596072</v>
      </c>
      <c r="F55" s="69">
        <v>5</v>
      </c>
      <c r="G55" s="69">
        <v>0.4</v>
      </c>
      <c r="H55" s="60">
        <f t="shared" si="1"/>
        <v>104.71757024808846</v>
      </c>
      <c r="I55" s="70">
        <f t="shared" si="14"/>
        <v>0.56787754292986403</v>
      </c>
      <c r="J55" s="71">
        <v>33.5</v>
      </c>
      <c r="K55" s="71">
        <v>33</v>
      </c>
      <c r="L55" s="72">
        <f t="shared" si="29"/>
        <v>6.5</v>
      </c>
      <c r="M55" s="72">
        <v>7</v>
      </c>
      <c r="N55" s="73">
        <f t="shared" ref="N55" si="30">J55-L55</f>
        <v>27</v>
      </c>
      <c r="O55" s="73">
        <f t="shared" ref="O55" si="31">K55-M55</f>
        <v>26</v>
      </c>
      <c r="P55" s="70">
        <f t="shared" ref="P55" si="32">(N55-O55)/B55</f>
        <v>1.5766728104350512E-2</v>
      </c>
      <c r="Q55" s="73">
        <f>Escoamento!P54</f>
        <v>2.9852301052117234</v>
      </c>
      <c r="R55" s="74">
        <f t="shared" ref="R55" si="33">(B55/Q55)/60</f>
        <v>0.35410279813534223</v>
      </c>
    </row>
    <row r="56" spans="1:18" x14ac:dyDescent="0.3">
      <c r="H56" s="19"/>
      <c r="I56" s="39"/>
      <c r="L56" s="29"/>
      <c r="M56" s="29"/>
      <c r="N56" s="19"/>
      <c r="O56" s="19"/>
      <c r="P56" s="39"/>
      <c r="Q56" s="19"/>
      <c r="R56" s="19"/>
    </row>
    <row r="58" spans="1:18" ht="15" thickBot="1" x14ac:dyDescent="0.35"/>
    <row r="59" spans="1:18" x14ac:dyDescent="0.3">
      <c r="H59" s="155" t="s">
        <v>109</v>
      </c>
      <c r="I59" s="156"/>
      <c r="J59" s="156"/>
      <c r="K59" s="157"/>
    </row>
    <row r="60" spans="1:18" ht="15" thickBot="1" x14ac:dyDescent="0.35">
      <c r="H60" s="30"/>
      <c r="I60" s="3" t="s">
        <v>110</v>
      </c>
      <c r="J60" s="23"/>
      <c r="K60" s="28" t="s">
        <v>111</v>
      </c>
    </row>
  </sheetData>
  <mergeCells count="8">
    <mergeCell ref="T3:X3"/>
    <mergeCell ref="A2:R4"/>
    <mergeCell ref="H59:K59"/>
    <mergeCell ref="L5:M5"/>
    <mergeCell ref="N5:O5"/>
    <mergeCell ref="C5:D5"/>
    <mergeCell ref="J5:K5"/>
    <mergeCell ref="A5:A6"/>
  </mergeCells>
  <phoneticPr fontId="3" type="noConversion"/>
  <printOptions horizontalCentered="1"/>
  <pageMargins left="0.51181102362204722" right="0.51181102362204722" top="0.78740157480314965" bottom="0.78740157480314965" header="0.31496062992125984" footer="0.31496062992125984"/>
  <pageSetup paperSize="9" scale="44" orientation="portrait" r:id="rId1"/>
  <colBreaks count="1" manualBreakCount="1">
    <brk id="18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C3AA8B-B5F7-4E60-A733-63AA211CC0A8}">
  <dimension ref="A1:N63"/>
  <sheetViews>
    <sheetView view="pageBreakPreview" topLeftCell="A2" zoomScaleNormal="85" zoomScaleSheetLayoutView="100" workbookViewId="0">
      <selection activeCell="B7" sqref="B7"/>
    </sheetView>
  </sheetViews>
  <sheetFormatPr defaultRowHeight="14.4" x14ac:dyDescent="0.3"/>
  <cols>
    <col min="1" max="1" width="15.109375" customWidth="1"/>
    <col min="2" max="2" width="13.88671875" customWidth="1"/>
    <col min="3" max="3" width="15" customWidth="1"/>
    <col min="4" max="4" width="15" bestFit="1" customWidth="1"/>
    <col min="5" max="5" width="14.6640625" customWidth="1"/>
    <col min="6" max="6" width="15.33203125" customWidth="1"/>
    <col min="7" max="7" width="16.109375" customWidth="1"/>
    <col min="8" max="8" width="12.33203125" customWidth="1"/>
  </cols>
  <sheetData>
    <row r="1" spans="1:14" ht="14.4" customHeight="1" x14ac:dyDescent="0.3">
      <c r="A1" s="166" t="s">
        <v>42</v>
      </c>
      <c r="B1" s="166"/>
      <c r="C1" s="166"/>
      <c r="D1" s="166"/>
      <c r="E1" s="166"/>
      <c r="F1" s="166"/>
      <c r="G1" s="166"/>
      <c r="H1" s="166"/>
      <c r="I1" s="166"/>
      <c r="J1" s="10"/>
    </row>
    <row r="2" spans="1:14" x14ac:dyDescent="0.3">
      <c r="A2" s="166"/>
      <c r="B2" s="166"/>
      <c r="C2" s="166"/>
      <c r="D2" s="166"/>
      <c r="E2" s="166"/>
      <c r="F2" s="166"/>
      <c r="G2" s="166"/>
      <c r="H2" s="166"/>
      <c r="I2" s="166"/>
      <c r="J2" s="10"/>
    </row>
    <row r="3" spans="1:14" x14ac:dyDescent="0.3">
      <c r="A3" s="166"/>
      <c r="B3" s="166"/>
      <c r="C3" s="166"/>
      <c r="D3" s="166"/>
      <c r="E3" s="166"/>
      <c r="F3" s="166"/>
      <c r="G3" s="166"/>
      <c r="H3" s="166"/>
      <c r="I3" s="166"/>
      <c r="J3" s="10"/>
    </row>
    <row r="4" spans="1:14" ht="15" thickBot="1" x14ac:dyDescent="0.35">
      <c r="A4" s="169"/>
      <c r="B4" s="169"/>
      <c r="C4" s="169"/>
      <c r="D4" s="169"/>
      <c r="E4" s="169"/>
      <c r="F4" s="169"/>
      <c r="G4" s="169"/>
      <c r="H4" s="169"/>
      <c r="I4" s="169"/>
    </row>
    <row r="5" spans="1:14" ht="28.5" customHeight="1" x14ac:dyDescent="0.3">
      <c r="A5" s="6" t="s">
        <v>34</v>
      </c>
      <c r="B5" s="6" t="s">
        <v>36</v>
      </c>
      <c r="C5" s="179" t="s">
        <v>37</v>
      </c>
      <c r="D5" s="179"/>
      <c r="E5" s="172"/>
      <c r="F5" s="180" t="s">
        <v>41</v>
      </c>
      <c r="G5" s="175" t="s">
        <v>124</v>
      </c>
      <c r="H5" s="177" t="s">
        <v>126</v>
      </c>
      <c r="I5" s="178"/>
    </row>
    <row r="6" spans="1:14" ht="22.5" customHeight="1" thickBot="1" x14ac:dyDescent="0.35">
      <c r="A6" s="4" t="s">
        <v>35</v>
      </c>
      <c r="B6" s="4" t="s">
        <v>35</v>
      </c>
      <c r="C6" s="5" t="s">
        <v>38</v>
      </c>
      <c r="D6" s="5" t="s">
        <v>39</v>
      </c>
      <c r="E6" s="5" t="s">
        <v>40</v>
      </c>
      <c r="F6" s="181"/>
      <c r="G6" s="176"/>
      <c r="H6" s="4" t="s">
        <v>220</v>
      </c>
      <c r="I6" s="4" t="s">
        <v>125</v>
      </c>
    </row>
    <row r="7" spans="1:14" x14ac:dyDescent="0.3">
      <c r="A7" t="s">
        <v>171</v>
      </c>
      <c r="B7">
        <f>VLOOKUP(A7,$L$7:$N$55,3,0)</f>
        <v>46</v>
      </c>
      <c r="C7">
        <v>46</v>
      </c>
      <c r="D7" s="31" t="s">
        <v>123</v>
      </c>
      <c r="E7" s="19">
        <f>I7+G7</f>
        <v>44.887224641762764</v>
      </c>
      <c r="F7">
        <v>0.8</v>
      </c>
      <c r="G7" s="19">
        <f>Escoamento!O6</f>
        <v>8.7224641762758848E-2</v>
      </c>
      <c r="H7" s="31" t="s">
        <v>123</v>
      </c>
      <c r="I7" s="40">
        <f>C7-F7-0.4</f>
        <v>44.800000000000004</v>
      </c>
      <c r="J7" t="str">
        <f>Galeria!A7</f>
        <v>PV1 - PV2</v>
      </c>
      <c r="K7" s="43">
        <f>Galeria!J7</f>
        <v>46.25</v>
      </c>
      <c r="L7" t="str">
        <f>LEFT(J7,3)</f>
        <v>PV1</v>
      </c>
      <c r="M7">
        <v>1</v>
      </c>
      <c r="N7">
        <v>46</v>
      </c>
    </row>
    <row r="8" spans="1:14" x14ac:dyDescent="0.3">
      <c r="A8" t="s">
        <v>172</v>
      </c>
      <c r="B8">
        <f t="shared" ref="B8:B55" si="0">VLOOKUP(A8,$L$7:$N$55,3,0)</f>
        <v>44.5</v>
      </c>
      <c r="C8">
        <v>44.5</v>
      </c>
      <c r="D8" s="19">
        <f>H8+G8</f>
        <v>43.400915108536516</v>
      </c>
      <c r="E8" s="19">
        <f t="shared" ref="E8:E11" si="1">I8+G8</f>
        <v>43.100915108536512</v>
      </c>
      <c r="F8">
        <v>1.1000000000000001</v>
      </c>
      <c r="G8" s="19">
        <f>Escoamento!O7</f>
        <v>0.10091510853651089</v>
      </c>
      <c r="H8">
        <f>I7-Galeria!B7*Galeria!P7</f>
        <v>43.300000000000004</v>
      </c>
      <c r="I8" s="40">
        <f t="shared" ref="I8:I11" si="2">C8-F8-0.4</f>
        <v>43</v>
      </c>
      <c r="J8" t="str">
        <f>Galeria!A8</f>
        <v>PV2 - PV3</v>
      </c>
      <c r="K8" s="43">
        <f>Galeria!J8</f>
        <v>44.75</v>
      </c>
      <c r="L8" t="s">
        <v>172</v>
      </c>
      <c r="M8">
        <v>2</v>
      </c>
      <c r="N8">
        <v>44.5</v>
      </c>
    </row>
    <row r="9" spans="1:14" x14ac:dyDescent="0.3">
      <c r="A9" t="s">
        <v>173</v>
      </c>
      <c r="B9">
        <f t="shared" si="0"/>
        <v>42</v>
      </c>
      <c r="C9">
        <v>42</v>
      </c>
      <c r="D9" s="19">
        <f t="shared" ref="D9:D11" si="3">H9+G9</f>
        <v>40.387993120137267</v>
      </c>
      <c r="E9" s="19">
        <f t="shared" si="1"/>
        <v>40.637993120137267</v>
      </c>
      <c r="F9">
        <v>1.1000000000000001</v>
      </c>
      <c r="G9" s="19">
        <f>Escoamento!O8</f>
        <v>0.1379931201372685</v>
      </c>
      <c r="H9">
        <f>I8-Galeria!B8*Galeria!P8</f>
        <v>40.25</v>
      </c>
      <c r="I9" s="40">
        <f t="shared" si="2"/>
        <v>40.5</v>
      </c>
      <c r="J9" t="str">
        <f>Galeria!A9</f>
        <v>PV3 - PV4</v>
      </c>
      <c r="K9" s="43">
        <f>Galeria!J9</f>
        <v>42</v>
      </c>
      <c r="L9" t="s">
        <v>173</v>
      </c>
      <c r="M9">
        <v>3</v>
      </c>
      <c r="N9">
        <v>42</v>
      </c>
    </row>
    <row r="10" spans="1:14" x14ac:dyDescent="0.3">
      <c r="A10" t="s">
        <v>174</v>
      </c>
      <c r="B10">
        <f t="shared" si="0"/>
        <v>39.5</v>
      </c>
      <c r="C10">
        <v>39.5</v>
      </c>
      <c r="D10" s="19">
        <f>H10+G10</f>
        <v>38.222967297288676</v>
      </c>
      <c r="E10" s="19">
        <f t="shared" si="1"/>
        <v>38.222967297288676</v>
      </c>
      <c r="F10">
        <v>1.1000000000000001</v>
      </c>
      <c r="G10" s="19">
        <f>Escoamento!O9</f>
        <v>0.22296729728867429</v>
      </c>
      <c r="H10">
        <f>I9-Galeria!B9*Galeria!P9</f>
        <v>38</v>
      </c>
      <c r="I10" s="40">
        <f t="shared" si="2"/>
        <v>38</v>
      </c>
      <c r="J10" t="str">
        <f>Galeria!A10</f>
        <v>PV4 - PV5</v>
      </c>
      <c r="K10" s="43">
        <f>Galeria!J10</f>
        <v>39.5</v>
      </c>
      <c r="L10" t="s">
        <v>174</v>
      </c>
      <c r="M10">
        <v>4</v>
      </c>
      <c r="N10">
        <v>39.5</v>
      </c>
    </row>
    <row r="11" spans="1:14" x14ac:dyDescent="0.3">
      <c r="A11" t="s">
        <v>179</v>
      </c>
      <c r="B11">
        <f t="shared" si="0"/>
        <v>43</v>
      </c>
      <c r="C11">
        <v>43</v>
      </c>
      <c r="D11" s="19">
        <f t="shared" si="3"/>
        <v>37.779437127593035</v>
      </c>
      <c r="E11" s="19">
        <f t="shared" si="1"/>
        <v>41.679437127593033</v>
      </c>
      <c r="F11">
        <v>1.1000000000000001</v>
      </c>
      <c r="G11" s="19">
        <f>Escoamento!O10</f>
        <v>0.17943712759303609</v>
      </c>
      <c r="H11">
        <f>I10-Escoamento!B9*Galeria!P10</f>
        <v>37.6</v>
      </c>
      <c r="I11" s="40">
        <f t="shared" si="2"/>
        <v>41.5</v>
      </c>
      <c r="J11" t="str">
        <f>Galeria!A11</f>
        <v>PV24 - PV25</v>
      </c>
      <c r="K11" s="43">
        <f>Galeria!J11</f>
        <v>43</v>
      </c>
      <c r="L11" t="s">
        <v>175</v>
      </c>
      <c r="M11">
        <v>24</v>
      </c>
      <c r="N11">
        <v>43</v>
      </c>
    </row>
    <row r="12" spans="1:14" x14ac:dyDescent="0.3">
      <c r="A12" t="s">
        <v>180</v>
      </c>
      <c r="B12">
        <f t="shared" si="0"/>
        <v>41.5</v>
      </c>
      <c r="C12">
        <v>41.5</v>
      </c>
      <c r="D12" s="19">
        <f t="shared" ref="D12:D54" si="4">H12+G12</f>
        <v>41.308441688146523</v>
      </c>
      <c r="E12" s="19">
        <f t="shared" ref="E12:E54" si="5">I12+G12</f>
        <v>39.208441688146522</v>
      </c>
      <c r="F12">
        <v>2.1</v>
      </c>
      <c r="G12" s="19">
        <f>Escoamento!O11</f>
        <v>0.20844168814652245</v>
      </c>
      <c r="H12">
        <f>I11-Escoamento!B10*Galeria!P11</f>
        <v>41.1</v>
      </c>
      <c r="I12" s="40">
        <f t="shared" ref="I12:I54" si="6">C12-F12-0.4</f>
        <v>39</v>
      </c>
      <c r="J12" t="str">
        <f>Galeria!A12</f>
        <v>PV25 - PV26</v>
      </c>
      <c r="K12" s="43">
        <f>Galeria!J12</f>
        <v>43.25</v>
      </c>
      <c r="L12" t="s">
        <v>176</v>
      </c>
      <c r="M12">
        <v>25</v>
      </c>
      <c r="N12">
        <v>43.5</v>
      </c>
    </row>
    <row r="13" spans="1:14" x14ac:dyDescent="0.3">
      <c r="A13" t="s">
        <v>181</v>
      </c>
      <c r="B13">
        <f t="shared" si="0"/>
        <v>41</v>
      </c>
      <c r="C13">
        <v>41</v>
      </c>
      <c r="D13" s="19">
        <f t="shared" si="4"/>
        <v>39.009774750290113</v>
      </c>
      <c r="E13" s="19">
        <f t="shared" si="5"/>
        <v>37.759774750290113</v>
      </c>
      <c r="F13">
        <v>3.1</v>
      </c>
      <c r="G13" s="19">
        <f>Escoamento!O12</f>
        <v>0.25977475029011327</v>
      </c>
      <c r="H13">
        <f>I12-Escoamento!B11*Galeria!P12</f>
        <v>38.75</v>
      </c>
      <c r="I13" s="40">
        <f t="shared" si="6"/>
        <v>37.5</v>
      </c>
      <c r="J13" t="str">
        <f>Galeria!A13</f>
        <v>PV26 - PV27</v>
      </c>
      <c r="K13" s="43">
        <f>Galeria!J13</f>
        <v>45.5</v>
      </c>
      <c r="L13" t="s">
        <v>177</v>
      </c>
      <c r="M13">
        <v>26</v>
      </c>
      <c r="N13">
        <v>45.5</v>
      </c>
    </row>
    <row r="14" spans="1:14" x14ac:dyDescent="0.3">
      <c r="A14" t="s">
        <v>182</v>
      </c>
      <c r="B14">
        <f t="shared" si="0"/>
        <v>37.5</v>
      </c>
      <c r="C14">
        <v>37.5</v>
      </c>
      <c r="D14" s="19">
        <f t="shared" si="4"/>
        <v>37.385663333533437</v>
      </c>
      <c r="E14" s="19">
        <f t="shared" si="5"/>
        <v>33.135663333533437</v>
      </c>
      <c r="F14">
        <v>4.0999999999999996</v>
      </c>
      <c r="G14" s="19">
        <f>Escoamento!O13</f>
        <v>0.13566333353343518</v>
      </c>
      <c r="H14">
        <f>I13-Escoamento!B12*Galeria!P13</f>
        <v>37.25</v>
      </c>
      <c r="I14" s="40">
        <f t="shared" si="6"/>
        <v>33</v>
      </c>
      <c r="J14" t="str">
        <f>Galeria!A14</f>
        <v>PV27 - PV5</v>
      </c>
      <c r="K14" s="43">
        <f>Galeria!J14</f>
        <v>43.5</v>
      </c>
      <c r="L14" t="s">
        <v>178</v>
      </c>
      <c r="M14">
        <v>27</v>
      </c>
      <c r="N14">
        <v>43.5</v>
      </c>
    </row>
    <row r="15" spans="1:14" x14ac:dyDescent="0.3">
      <c r="A15" t="s">
        <v>183</v>
      </c>
      <c r="B15">
        <f t="shared" si="0"/>
        <v>38.5</v>
      </c>
      <c r="C15">
        <v>38.5</v>
      </c>
      <c r="D15" s="19">
        <f t="shared" si="4"/>
        <v>33.049711832679222</v>
      </c>
      <c r="E15" s="19">
        <f t="shared" si="5"/>
        <v>33.299711832679222</v>
      </c>
      <c r="F15">
        <v>5.0999999999999996</v>
      </c>
      <c r="G15" s="19">
        <f>Escoamento!O14</f>
        <v>0.29971183267921858</v>
      </c>
      <c r="H15">
        <f>I14-Escoamento!B13*Galeria!P14</f>
        <v>32.75</v>
      </c>
      <c r="I15" s="40">
        <f t="shared" si="6"/>
        <v>33</v>
      </c>
      <c r="J15" t="str">
        <f>Galeria!A15</f>
        <v>PV5 - PV6</v>
      </c>
      <c r="K15" s="43">
        <f>Galeria!J15</f>
        <v>43.25</v>
      </c>
      <c r="L15" t="s">
        <v>179</v>
      </c>
      <c r="M15">
        <v>5</v>
      </c>
      <c r="N15">
        <v>43</v>
      </c>
    </row>
    <row r="16" spans="1:14" x14ac:dyDescent="0.3">
      <c r="A16" t="s">
        <v>184</v>
      </c>
      <c r="B16">
        <f t="shared" si="0"/>
        <v>38.5</v>
      </c>
      <c r="C16">
        <v>38.5</v>
      </c>
      <c r="D16" s="19">
        <f t="shared" si="4"/>
        <v>32.951313229561407</v>
      </c>
      <c r="E16" s="19">
        <f t="shared" si="5"/>
        <v>32.201313229561407</v>
      </c>
      <c r="F16">
        <v>6.1</v>
      </c>
      <c r="G16" s="19">
        <f>Escoamento!O15</f>
        <v>0.20131322956140593</v>
      </c>
      <c r="H16">
        <f>I15-Escoamento!B14*Galeria!P15</f>
        <v>32.75</v>
      </c>
      <c r="I16" s="40">
        <f t="shared" si="6"/>
        <v>32</v>
      </c>
      <c r="J16" t="str">
        <f>Galeria!A16</f>
        <v>PV6 - PV7</v>
      </c>
      <c r="K16" s="43">
        <f>Galeria!J16</f>
        <v>41.5</v>
      </c>
      <c r="L16" t="s">
        <v>180</v>
      </c>
      <c r="M16">
        <v>6</v>
      </c>
      <c r="N16">
        <v>41.5</v>
      </c>
    </row>
    <row r="17" spans="1:14" x14ac:dyDescent="0.3">
      <c r="A17" t="s">
        <v>185</v>
      </c>
      <c r="B17">
        <f t="shared" si="0"/>
        <v>37.5</v>
      </c>
      <c r="C17">
        <v>37.5</v>
      </c>
      <c r="D17" s="19">
        <f t="shared" si="4"/>
        <v>32.010408669096627</v>
      </c>
      <c r="E17" s="19">
        <f t="shared" si="5"/>
        <v>30.260408669096627</v>
      </c>
      <c r="F17">
        <v>7.1</v>
      </c>
      <c r="G17" s="19">
        <f>Escoamento!O16</f>
        <v>0.26040866909662619</v>
      </c>
      <c r="H17">
        <f>I16-Escoamento!B15*Galeria!P16</f>
        <v>31.75</v>
      </c>
      <c r="I17" s="40">
        <f t="shared" si="6"/>
        <v>30</v>
      </c>
      <c r="J17" t="str">
        <f>Galeria!A17</f>
        <v>PV7 - PV8</v>
      </c>
      <c r="K17" s="43">
        <f>Galeria!J17</f>
        <v>41</v>
      </c>
      <c r="L17" t="s">
        <v>181</v>
      </c>
      <c r="M17">
        <v>7</v>
      </c>
      <c r="N17">
        <v>41</v>
      </c>
    </row>
    <row r="18" spans="1:14" x14ac:dyDescent="0.3">
      <c r="A18" t="s">
        <v>186</v>
      </c>
      <c r="B18">
        <f t="shared" si="0"/>
        <v>37.5</v>
      </c>
      <c r="C18">
        <v>37.5</v>
      </c>
      <c r="D18" s="19">
        <f t="shared" si="4"/>
        <v>29.269804700306661</v>
      </c>
      <c r="E18" s="19">
        <f t="shared" si="5"/>
        <v>29.369804700306663</v>
      </c>
      <c r="F18">
        <v>8.1</v>
      </c>
      <c r="G18" s="19">
        <f>Escoamento!O17</f>
        <v>0.36980470030666124</v>
      </c>
      <c r="H18">
        <f>I17-Escoamento!B16*Galeria!P17</f>
        <v>28.9</v>
      </c>
      <c r="I18" s="40">
        <f t="shared" si="6"/>
        <v>29</v>
      </c>
      <c r="J18" t="str">
        <f>Galeria!A18</f>
        <v>PV8 - PV9</v>
      </c>
      <c r="K18" s="43">
        <f>Galeria!J18</f>
        <v>37.5</v>
      </c>
      <c r="L18" t="s">
        <v>182</v>
      </c>
      <c r="M18">
        <v>8</v>
      </c>
      <c r="N18">
        <v>37.5</v>
      </c>
    </row>
    <row r="19" spans="1:14" x14ac:dyDescent="0.3">
      <c r="A19" t="s">
        <v>187</v>
      </c>
      <c r="B19">
        <f t="shared" si="0"/>
        <v>38</v>
      </c>
      <c r="C19">
        <v>38</v>
      </c>
      <c r="D19" s="19">
        <f t="shared" si="4"/>
        <v>29.21553450614374</v>
      </c>
      <c r="E19" s="19">
        <f t="shared" si="5"/>
        <v>28.865534506143739</v>
      </c>
      <c r="F19">
        <v>9.1</v>
      </c>
      <c r="G19" s="19">
        <f>Escoamento!O18</f>
        <v>0.36553450614374017</v>
      </c>
      <c r="H19">
        <f>I18-Escoamento!B17*Galeria!P18</f>
        <v>28.85</v>
      </c>
      <c r="I19" s="40">
        <f t="shared" si="6"/>
        <v>28.5</v>
      </c>
      <c r="J19" t="str">
        <f>Galeria!A19</f>
        <v>PV9 - PV10</v>
      </c>
      <c r="K19" s="43">
        <f>Galeria!J19</f>
        <v>38.5</v>
      </c>
      <c r="L19" t="s">
        <v>183</v>
      </c>
      <c r="M19">
        <v>9</v>
      </c>
      <c r="N19">
        <v>38.5</v>
      </c>
    </row>
    <row r="20" spans="1:14" x14ac:dyDescent="0.3">
      <c r="A20" t="s">
        <v>188</v>
      </c>
      <c r="B20">
        <f t="shared" si="0"/>
        <v>38</v>
      </c>
      <c r="C20">
        <v>38</v>
      </c>
      <c r="D20" s="19">
        <f t="shared" si="4"/>
        <v>28.590436249181884</v>
      </c>
      <c r="E20" s="19">
        <f t="shared" si="5"/>
        <v>27.840436249181884</v>
      </c>
      <c r="F20">
        <v>10.1</v>
      </c>
      <c r="G20" s="19">
        <f>Escoamento!O19</f>
        <v>0.3404362491818832</v>
      </c>
      <c r="H20">
        <f>I19-Escoamento!B18*Galeria!P19</f>
        <v>28.25</v>
      </c>
      <c r="I20" s="40">
        <f t="shared" si="6"/>
        <v>27.5</v>
      </c>
      <c r="J20" t="str">
        <f>Galeria!A20</f>
        <v>PV10 - PV11</v>
      </c>
      <c r="K20" s="43">
        <f>Galeria!J20</f>
        <v>38.5</v>
      </c>
      <c r="L20" t="s">
        <v>184</v>
      </c>
      <c r="M20">
        <v>10</v>
      </c>
      <c r="N20">
        <v>38.5</v>
      </c>
    </row>
    <row r="21" spans="1:14" x14ac:dyDescent="0.3">
      <c r="A21" t="s">
        <v>189</v>
      </c>
      <c r="B21">
        <f t="shared" si="0"/>
        <v>38</v>
      </c>
      <c r="C21">
        <v>38</v>
      </c>
      <c r="D21" s="19">
        <f t="shared" si="4"/>
        <v>27.608172001785324</v>
      </c>
      <c r="E21" s="19">
        <f t="shared" si="5"/>
        <v>26.858172001785324</v>
      </c>
      <c r="F21">
        <v>11.1</v>
      </c>
      <c r="G21" s="19">
        <f>Escoamento!O20</f>
        <v>0.35817200178532427</v>
      </c>
      <c r="H21">
        <f>I20-Escoamento!B19*Galeria!P20</f>
        <v>27.25</v>
      </c>
      <c r="I21" s="40">
        <f t="shared" si="6"/>
        <v>26.5</v>
      </c>
      <c r="J21" t="str">
        <f>Galeria!A21</f>
        <v>PV11 - PV12</v>
      </c>
      <c r="K21" s="43">
        <f>Galeria!J21</f>
        <v>37.5</v>
      </c>
      <c r="L21" t="s">
        <v>185</v>
      </c>
      <c r="M21">
        <v>11</v>
      </c>
      <c r="N21">
        <v>37.5</v>
      </c>
    </row>
    <row r="22" spans="1:14" x14ac:dyDescent="0.3">
      <c r="A22" t="s">
        <v>190</v>
      </c>
      <c r="B22">
        <f t="shared" si="0"/>
        <v>38</v>
      </c>
      <c r="C22">
        <v>38</v>
      </c>
      <c r="D22" s="19">
        <f t="shared" si="4"/>
        <v>26.571365548869935</v>
      </c>
      <c r="E22" s="19">
        <f t="shared" si="5"/>
        <v>25.821365548869935</v>
      </c>
      <c r="F22">
        <v>12.1</v>
      </c>
      <c r="G22" s="19">
        <f>Escoamento!O21</f>
        <v>0.32136554886993474</v>
      </c>
      <c r="H22">
        <f>I21-Escoamento!B20*Galeria!P21</f>
        <v>26.25</v>
      </c>
      <c r="I22" s="40">
        <f t="shared" si="6"/>
        <v>25.5</v>
      </c>
      <c r="J22" t="str">
        <f>Galeria!A22</f>
        <v>PV12 - PV13</v>
      </c>
      <c r="K22" s="43">
        <f>Galeria!J22</f>
        <v>37.5</v>
      </c>
      <c r="L22" t="s">
        <v>186</v>
      </c>
      <c r="M22">
        <v>12</v>
      </c>
      <c r="N22">
        <v>37.5</v>
      </c>
    </row>
    <row r="23" spans="1:14" x14ac:dyDescent="0.3">
      <c r="A23" t="s">
        <v>191</v>
      </c>
      <c r="B23">
        <f t="shared" si="0"/>
        <v>38</v>
      </c>
      <c r="C23">
        <v>38</v>
      </c>
      <c r="D23" s="19">
        <f t="shared" si="4"/>
        <v>25.398026738577613</v>
      </c>
      <c r="E23" s="19">
        <f t="shared" si="5"/>
        <v>24.898026738577613</v>
      </c>
      <c r="F23">
        <v>13.1</v>
      </c>
      <c r="G23" s="19">
        <f>Escoamento!O22</f>
        <v>0.39802673857761461</v>
      </c>
      <c r="H23">
        <f>I22-Escoamento!B21*Galeria!P22</f>
        <v>25</v>
      </c>
      <c r="I23" s="40">
        <f t="shared" si="6"/>
        <v>24.5</v>
      </c>
      <c r="J23" t="str">
        <f>Galeria!A23</f>
        <v>PV13 - PV14</v>
      </c>
      <c r="K23" s="43">
        <f>Galeria!J23</f>
        <v>37.75</v>
      </c>
      <c r="L23" t="s">
        <v>187</v>
      </c>
      <c r="M23">
        <v>13</v>
      </c>
      <c r="N23">
        <v>38</v>
      </c>
    </row>
    <row r="24" spans="1:14" x14ac:dyDescent="0.3">
      <c r="A24" t="s">
        <v>192</v>
      </c>
      <c r="B24">
        <f t="shared" si="0"/>
        <v>37.5</v>
      </c>
      <c r="C24">
        <v>37.5</v>
      </c>
      <c r="D24" s="19">
        <f t="shared" si="4"/>
        <v>24.596183597660794</v>
      </c>
      <c r="E24" s="19">
        <f t="shared" si="5"/>
        <v>23.346183597660794</v>
      </c>
      <c r="F24">
        <v>14.1</v>
      </c>
      <c r="G24" s="19">
        <f>Escoamento!O23</f>
        <v>0.34618359766079487</v>
      </c>
      <c r="H24">
        <f>I23-Escoamento!B22*Galeria!P23</f>
        <v>24.25</v>
      </c>
      <c r="I24" s="40">
        <f t="shared" si="6"/>
        <v>23</v>
      </c>
      <c r="J24" t="str">
        <f>Galeria!A24</f>
        <v>PV14 - PV15</v>
      </c>
      <c r="K24" s="43">
        <f>Galeria!J24</f>
        <v>38</v>
      </c>
      <c r="L24" t="s">
        <v>188</v>
      </c>
      <c r="M24">
        <v>14</v>
      </c>
      <c r="N24">
        <v>38</v>
      </c>
    </row>
    <row r="25" spans="1:14" x14ac:dyDescent="0.3">
      <c r="A25" t="s">
        <v>193</v>
      </c>
      <c r="B25">
        <f t="shared" si="0"/>
        <v>38</v>
      </c>
      <c r="C25">
        <v>38</v>
      </c>
      <c r="D25" s="19">
        <f t="shared" si="4"/>
        <v>23.107705691440959</v>
      </c>
      <c r="E25" s="19">
        <f t="shared" si="5"/>
        <v>22.857705691440959</v>
      </c>
      <c r="F25">
        <v>15.1</v>
      </c>
      <c r="G25" s="19">
        <f>Escoamento!O24</f>
        <v>0.35770569144096037</v>
      </c>
      <c r="H25">
        <f>I24-Escoamento!B23*Galeria!P24</f>
        <v>22.75</v>
      </c>
      <c r="I25" s="40">
        <f t="shared" si="6"/>
        <v>22.5</v>
      </c>
      <c r="J25" t="str">
        <f>Galeria!A25</f>
        <v>PV15 - PV16</v>
      </c>
      <c r="K25" s="43">
        <f>Galeria!J25</f>
        <v>38</v>
      </c>
      <c r="L25" t="s">
        <v>189</v>
      </c>
      <c r="M25">
        <v>15</v>
      </c>
      <c r="N25">
        <v>38</v>
      </c>
    </row>
    <row r="26" spans="1:14" x14ac:dyDescent="0.3">
      <c r="A26" t="s">
        <v>194</v>
      </c>
      <c r="B26">
        <f t="shared" si="0"/>
        <v>37.5</v>
      </c>
      <c r="C26">
        <v>37.5</v>
      </c>
      <c r="D26" s="19">
        <f t="shared" si="4"/>
        <v>22.619243517825272</v>
      </c>
      <c r="E26" s="19">
        <f t="shared" si="5"/>
        <v>21.369243517825272</v>
      </c>
      <c r="F26">
        <v>16.100000000000001</v>
      </c>
      <c r="G26" s="19">
        <f>Escoamento!O25</f>
        <v>0.36924351782527132</v>
      </c>
      <c r="H26">
        <f>I25-Escoamento!B24*Galeria!P25</f>
        <v>22.25</v>
      </c>
      <c r="I26" s="40">
        <f t="shared" si="6"/>
        <v>21</v>
      </c>
      <c r="J26" t="str">
        <f>Galeria!A26</f>
        <v>PV16 - PV17</v>
      </c>
      <c r="K26" s="43">
        <f>Galeria!J26</f>
        <v>38</v>
      </c>
      <c r="L26" t="s">
        <v>190</v>
      </c>
      <c r="M26">
        <v>16</v>
      </c>
      <c r="N26">
        <v>38</v>
      </c>
    </row>
    <row r="27" spans="1:14" x14ac:dyDescent="0.3">
      <c r="A27" t="s">
        <v>195</v>
      </c>
      <c r="B27">
        <f t="shared" si="0"/>
        <v>37</v>
      </c>
      <c r="C27">
        <v>37</v>
      </c>
      <c r="D27" s="19">
        <f t="shared" si="4"/>
        <v>21.123810326902099</v>
      </c>
      <c r="E27" s="19">
        <f t="shared" si="5"/>
        <v>19.873810326902099</v>
      </c>
      <c r="F27">
        <v>17.100000000000001</v>
      </c>
      <c r="G27" s="19">
        <f>Escoamento!O26</f>
        <v>0.37381032690209781</v>
      </c>
      <c r="H27">
        <f>I26-Escoamento!B25*Galeria!P26</f>
        <v>20.75</v>
      </c>
      <c r="I27" s="40">
        <f t="shared" si="6"/>
        <v>19.5</v>
      </c>
      <c r="J27" t="str">
        <f>Galeria!A27</f>
        <v>PV17 - PV18</v>
      </c>
      <c r="K27" s="43">
        <f>Galeria!J27</f>
        <v>38</v>
      </c>
      <c r="L27" t="s">
        <v>191</v>
      </c>
      <c r="M27">
        <v>17</v>
      </c>
      <c r="N27">
        <v>38</v>
      </c>
    </row>
    <row r="28" spans="1:14" x14ac:dyDescent="0.3">
      <c r="A28" t="s">
        <v>196</v>
      </c>
      <c r="B28">
        <f t="shared" si="0"/>
        <v>36</v>
      </c>
      <c r="C28">
        <v>36</v>
      </c>
      <c r="D28" s="19">
        <f t="shared" si="4"/>
        <v>19.62766046081045</v>
      </c>
      <c r="E28" s="19">
        <f t="shared" si="5"/>
        <v>17.87766046081045</v>
      </c>
      <c r="F28">
        <v>18.100000000000001</v>
      </c>
      <c r="G28" s="19">
        <f>Escoamento!O27</f>
        <v>0.37766046081044852</v>
      </c>
      <c r="H28">
        <f>I27-Escoamento!B26*Galeria!P27</f>
        <v>19.25</v>
      </c>
      <c r="I28" s="40">
        <f t="shared" si="6"/>
        <v>17.5</v>
      </c>
      <c r="J28" t="str">
        <f>Galeria!A28</f>
        <v>PV18 - PV19</v>
      </c>
      <c r="K28" s="43">
        <f>Galeria!J28</f>
        <v>37.75</v>
      </c>
      <c r="L28" t="s">
        <v>192</v>
      </c>
      <c r="M28">
        <v>18</v>
      </c>
      <c r="N28">
        <v>37.5</v>
      </c>
    </row>
    <row r="29" spans="1:14" x14ac:dyDescent="0.3">
      <c r="A29" t="s">
        <v>219</v>
      </c>
      <c r="B29">
        <f t="shared" si="0"/>
        <v>33.5</v>
      </c>
      <c r="C29">
        <v>33.5</v>
      </c>
      <c r="D29" s="19">
        <f t="shared" si="4"/>
        <v>17.632115381132675</v>
      </c>
      <c r="E29" s="19">
        <f t="shared" si="5"/>
        <v>14.382115381132673</v>
      </c>
      <c r="F29">
        <v>19.100000000000001</v>
      </c>
      <c r="G29" s="19">
        <f>Escoamento!O28</f>
        <v>0.3821153811326749</v>
      </c>
      <c r="H29">
        <f>I28-Escoamento!B27*Galeria!P28</f>
        <v>17.25</v>
      </c>
      <c r="I29" s="40">
        <f t="shared" si="6"/>
        <v>13.999999999999998</v>
      </c>
      <c r="J29" t="str">
        <f>Galeria!A29</f>
        <v>PV19 - PV20</v>
      </c>
      <c r="K29" s="43">
        <f>Galeria!J29</f>
        <v>38</v>
      </c>
      <c r="L29" t="s">
        <v>193</v>
      </c>
      <c r="M29">
        <v>19</v>
      </c>
      <c r="N29">
        <v>38</v>
      </c>
    </row>
    <row r="30" spans="1:14" x14ac:dyDescent="0.3">
      <c r="A30" t="s">
        <v>175</v>
      </c>
      <c r="B30">
        <f t="shared" si="0"/>
        <v>43</v>
      </c>
      <c r="C30">
        <v>43</v>
      </c>
      <c r="D30" s="19">
        <f t="shared" si="4"/>
        <v>14.136547982592454</v>
      </c>
      <c r="E30" s="19">
        <f t="shared" si="5"/>
        <v>22.886547982592457</v>
      </c>
      <c r="F30">
        <v>20.100000000000001</v>
      </c>
      <c r="G30" s="19">
        <f>Escoamento!O29</f>
        <v>0.38654798259245604</v>
      </c>
      <c r="H30">
        <f>I29-Escoamento!B28*Galeria!P29</f>
        <v>13.749999999999998</v>
      </c>
      <c r="I30" s="40">
        <f t="shared" si="6"/>
        <v>22.5</v>
      </c>
      <c r="J30" t="str">
        <f>Galeria!A30</f>
        <v>PV20 - PV21</v>
      </c>
      <c r="K30" s="43">
        <f>Galeria!J30</f>
        <v>37.5</v>
      </c>
      <c r="L30" t="s">
        <v>194</v>
      </c>
      <c r="M30">
        <v>20</v>
      </c>
      <c r="N30">
        <v>37.5</v>
      </c>
    </row>
    <row r="31" spans="1:14" x14ac:dyDescent="0.3">
      <c r="A31" t="s">
        <v>176</v>
      </c>
      <c r="B31">
        <f t="shared" si="0"/>
        <v>43.5</v>
      </c>
      <c r="C31">
        <v>43.5</v>
      </c>
      <c r="D31" s="19">
        <f t="shared" si="4"/>
        <v>22.640961331505537</v>
      </c>
      <c r="E31" s="19">
        <f t="shared" si="5"/>
        <v>22.390961331505537</v>
      </c>
      <c r="F31">
        <v>21.1</v>
      </c>
      <c r="G31" s="19">
        <f>Escoamento!O30</f>
        <v>0.39096133150553608</v>
      </c>
      <c r="H31">
        <f>I30-Escoamento!B29*Galeria!P30</f>
        <v>22.25</v>
      </c>
      <c r="I31" s="40">
        <f t="shared" si="6"/>
        <v>22</v>
      </c>
      <c r="J31" t="str">
        <f>Galeria!A31</f>
        <v>PV21 - PV22</v>
      </c>
      <c r="K31" s="43">
        <f>Galeria!J31</f>
        <v>37</v>
      </c>
      <c r="L31" t="s">
        <v>195</v>
      </c>
      <c r="M31">
        <v>21</v>
      </c>
      <c r="N31">
        <v>37</v>
      </c>
    </row>
    <row r="32" spans="1:14" x14ac:dyDescent="0.3">
      <c r="A32" t="s">
        <v>177</v>
      </c>
      <c r="B32">
        <f t="shared" si="0"/>
        <v>45.5</v>
      </c>
      <c r="C32">
        <v>45.5</v>
      </c>
      <c r="D32" s="19">
        <f t="shared" si="4"/>
        <v>22.100418611883935</v>
      </c>
      <c r="E32" s="19">
        <f t="shared" si="5"/>
        <v>23.350418611883935</v>
      </c>
      <c r="F32">
        <v>22.1</v>
      </c>
      <c r="G32" s="19">
        <f>Escoamento!O31</f>
        <v>0.35041861188393542</v>
      </c>
      <c r="H32">
        <f>I31-Escoamento!B30*Galeria!P31</f>
        <v>21.75</v>
      </c>
      <c r="I32" s="40">
        <f t="shared" si="6"/>
        <v>23</v>
      </c>
      <c r="J32" t="str">
        <f>Galeria!A32</f>
        <v>PV22 - PV23</v>
      </c>
      <c r="K32" s="43">
        <f>Galeria!J32</f>
        <v>36</v>
      </c>
      <c r="L32" t="s">
        <v>196</v>
      </c>
      <c r="M32">
        <v>22</v>
      </c>
      <c r="N32">
        <v>36</v>
      </c>
    </row>
    <row r="33" spans="1:14" x14ac:dyDescent="0.3">
      <c r="A33" t="s">
        <v>178</v>
      </c>
      <c r="B33">
        <f t="shared" si="0"/>
        <v>43.5</v>
      </c>
      <c r="C33">
        <v>43.5</v>
      </c>
      <c r="D33" s="19">
        <f t="shared" si="4"/>
        <v>22.778159021735899</v>
      </c>
      <c r="E33" s="19">
        <f t="shared" si="5"/>
        <v>20.1281590217359</v>
      </c>
      <c r="F33">
        <v>23.1</v>
      </c>
      <c r="G33" s="19">
        <f>Escoamento!O32</f>
        <v>0.12815902173589952</v>
      </c>
      <c r="H33">
        <f>I32-Escoamento!B31*Galeria!P32</f>
        <v>22.65</v>
      </c>
      <c r="I33" s="40">
        <f t="shared" si="6"/>
        <v>20</v>
      </c>
      <c r="J33" t="str">
        <f>Galeria!A33</f>
        <v>PV28 - PV29</v>
      </c>
      <c r="K33" s="43">
        <f>Galeria!J33</f>
        <v>42</v>
      </c>
      <c r="L33" t="s">
        <v>197</v>
      </c>
      <c r="M33">
        <v>28</v>
      </c>
      <c r="N33">
        <v>42</v>
      </c>
    </row>
    <row r="34" spans="1:14" x14ac:dyDescent="0.3">
      <c r="A34" t="s">
        <v>197</v>
      </c>
      <c r="B34">
        <f t="shared" si="0"/>
        <v>42</v>
      </c>
      <c r="C34">
        <v>42</v>
      </c>
      <c r="D34" s="19">
        <f t="shared" si="4"/>
        <v>20.007997361399436</v>
      </c>
      <c r="E34" s="19">
        <f t="shared" si="5"/>
        <v>17.657997361399435</v>
      </c>
      <c r="F34">
        <v>24.1</v>
      </c>
      <c r="G34" s="19">
        <f>Escoamento!O33</f>
        <v>0.15799736139943513</v>
      </c>
      <c r="H34">
        <f>I33-Escoamento!B32*Galeria!P33</f>
        <v>19.850000000000001</v>
      </c>
      <c r="I34" s="40">
        <f t="shared" si="6"/>
        <v>17.5</v>
      </c>
      <c r="J34" t="str">
        <f>Galeria!A34</f>
        <v>PV29 - PV30</v>
      </c>
      <c r="K34" s="43">
        <f>Galeria!J34</f>
        <v>42.5</v>
      </c>
      <c r="L34" t="s">
        <v>198</v>
      </c>
      <c r="M34">
        <v>29</v>
      </c>
      <c r="N34">
        <v>42.5</v>
      </c>
    </row>
    <row r="35" spans="1:14" x14ac:dyDescent="0.3">
      <c r="A35" t="s">
        <v>198</v>
      </c>
      <c r="B35">
        <f t="shared" si="0"/>
        <v>42.5</v>
      </c>
      <c r="C35">
        <v>42.5</v>
      </c>
      <c r="D35" s="19">
        <f t="shared" si="4"/>
        <v>17.448132164583619</v>
      </c>
      <c r="E35" s="19">
        <f t="shared" si="5"/>
        <v>17.198132164583619</v>
      </c>
      <c r="F35">
        <v>25.1</v>
      </c>
      <c r="G35" s="19">
        <f>Escoamento!O34</f>
        <v>0.19813216458361718</v>
      </c>
      <c r="H35">
        <f>I34-Escoamento!B33*Galeria!P34</f>
        <v>17.25</v>
      </c>
      <c r="I35" s="40">
        <f t="shared" si="6"/>
        <v>17</v>
      </c>
      <c r="J35" t="str">
        <f>Galeria!A35</f>
        <v>PV30 - PV31</v>
      </c>
      <c r="K35" s="43">
        <f>Galeria!J35</f>
        <v>42</v>
      </c>
      <c r="L35" t="s">
        <v>199</v>
      </c>
      <c r="M35">
        <v>30</v>
      </c>
      <c r="N35">
        <v>42</v>
      </c>
    </row>
    <row r="36" spans="1:14" x14ac:dyDescent="0.3">
      <c r="A36" t="s">
        <v>199</v>
      </c>
      <c r="B36">
        <f t="shared" si="0"/>
        <v>42</v>
      </c>
      <c r="C36">
        <v>42</v>
      </c>
      <c r="D36" s="19">
        <f t="shared" si="4"/>
        <v>16.949936228764397</v>
      </c>
      <c r="E36" s="19">
        <f t="shared" si="5"/>
        <v>15.699936228764395</v>
      </c>
      <c r="F36">
        <v>26.1</v>
      </c>
      <c r="G36" s="19">
        <f>Escoamento!O35</f>
        <v>0.19993622876439721</v>
      </c>
      <c r="H36">
        <f>I35-Escoamento!B34*Galeria!P35</f>
        <v>16.75</v>
      </c>
      <c r="I36" s="40">
        <f t="shared" si="6"/>
        <v>15.499999999999998</v>
      </c>
      <c r="J36" t="str">
        <f>Galeria!A36</f>
        <v>PV31 - PV32</v>
      </c>
      <c r="K36" s="43">
        <f>Galeria!J36</f>
        <v>42</v>
      </c>
      <c r="L36" t="s">
        <v>200</v>
      </c>
      <c r="M36">
        <v>31</v>
      </c>
      <c r="N36">
        <v>42</v>
      </c>
    </row>
    <row r="37" spans="1:14" x14ac:dyDescent="0.3">
      <c r="A37" t="s">
        <v>200</v>
      </c>
      <c r="B37">
        <f t="shared" si="0"/>
        <v>42</v>
      </c>
      <c r="C37">
        <v>42</v>
      </c>
      <c r="D37" s="19">
        <f t="shared" si="4"/>
        <v>15.550647235166471</v>
      </c>
      <c r="E37" s="19">
        <f t="shared" si="5"/>
        <v>14.800647235166471</v>
      </c>
      <c r="F37">
        <v>27.1</v>
      </c>
      <c r="G37" s="19">
        <f>Escoamento!O36</f>
        <v>0.30064723516647229</v>
      </c>
      <c r="H37">
        <f>I36-Escoamento!B35*Galeria!P36</f>
        <v>15.249999999999998</v>
      </c>
      <c r="I37" s="40">
        <f t="shared" si="6"/>
        <v>14.499999999999998</v>
      </c>
      <c r="J37" t="str">
        <f>Galeria!A37</f>
        <v>PV32 - PV33</v>
      </c>
      <c r="K37" s="43">
        <f>Galeria!J37</f>
        <v>41.5</v>
      </c>
      <c r="L37" t="s">
        <v>201</v>
      </c>
      <c r="M37">
        <v>32</v>
      </c>
      <c r="N37">
        <v>41.5</v>
      </c>
    </row>
    <row r="38" spans="1:14" x14ac:dyDescent="0.3">
      <c r="A38" t="s">
        <v>201</v>
      </c>
      <c r="B38">
        <f t="shared" si="0"/>
        <v>41.5</v>
      </c>
      <c r="C38">
        <v>41.5</v>
      </c>
      <c r="D38" s="19">
        <f t="shared" si="4"/>
        <v>14.700462433885281</v>
      </c>
      <c r="E38" s="19">
        <f t="shared" si="5"/>
        <v>13.300462433885283</v>
      </c>
      <c r="F38">
        <v>28.1</v>
      </c>
      <c r="G38" s="19">
        <f>Escoamento!O37</f>
        <v>0.30046243388528421</v>
      </c>
      <c r="H38">
        <f>I37-Escoamento!B36*Galeria!P37</f>
        <v>14.399999999999997</v>
      </c>
      <c r="I38" s="40">
        <f t="shared" si="6"/>
        <v>12.999999999999998</v>
      </c>
      <c r="J38" t="str">
        <f>Galeria!A38</f>
        <v>PV33 - PV34</v>
      </c>
      <c r="K38" s="43">
        <f>Galeria!J38</f>
        <v>41</v>
      </c>
      <c r="L38" t="s">
        <v>202</v>
      </c>
      <c r="M38">
        <v>33</v>
      </c>
      <c r="N38">
        <v>41</v>
      </c>
    </row>
    <row r="39" spans="1:14" x14ac:dyDescent="0.3">
      <c r="A39" t="s">
        <v>202</v>
      </c>
      <c r="B39">
        <f t="shared" si="0"/>
        <v>41</v>
      </c>
      <c r="C39">
        <v>41</v>
      </c>
      <c r="D39" s="19">
        <f t="shared" si="4"/>
        <v>13.260313799891607</v>
      </c>
      <c r="E39" s="19">
        <f t="shared" si="5"/>
        <v>11.860313799891609</v>
      </c>
      <c r="F39">
        <v>29.1</v>
      </c>
      <c r="G39" s="19">
        <f>Escoamento!O38</f>
        <v>0.36031379989161105</v>
      </c>
      <c r="H39">
        <f>I38-Escoamento!B37*Galeria!P38</f>
        <v>12.899999999999997</v>
      </c>
      <c r="I39" s="40">
        <f t="shared" si="6"/>
        <v>11.499999999999998</v>
      </c>
      <c r="J39" t="str">
        <f>Galeria!A39</f>
        <v>PV34 - PV35</v>
      </c>
      <c r="K39" s="43">
        <f>Galeria!J39</f>
        <v>41</v>
      </c>
      <c r="L39" t="s">
        <v>203</v>
      </c>
      <c r="M39">
        <v>34</v>
      </c>
      <c r="N39">
        <v>41</v>
      </c>
    </row>
    <row r="40" spans="1:14" x14ac:dyDescent="0.3">
      <c r="A40" t="s">
        <v>203</v>
      </c>
      <c r="B40">
        <f t="shared" si="0"/>
        <v>41</v>
      </c>
      <c r="C40">
        <v>41</v>
      </c>
      <c r="D40" s="19">
        <f t="shared" si="4"/>
        <v>11.744498876578106</v>
      </c>
      <c r="E40" s="19">
        <f t="shared" si="5"/>
        <v>10.794498876578103</v>
      </c>
      <c r="F40">
        <v>30.1</v>
      </c>
      <c r="G40" s="19">
        <f>Escoamento!O39</f>
        <v>0.2944988765781052</v>
      </c>
      <c r="H40">
        <f>I39-Escoamento!B38*Galeria!P39</f>
        <v>11.450000000000001</v>
      </c>
      <c r="I40" s="40">
        <f t="shared" si="6"/>
        <v>10.499999999999998</v>
      </c>
      <c r="J40" t="str">
        <f>Galeria!A40</f>
        <v>PV35 - PV36</v>
      </c>
      <c r="K40" s="43">
        <f>Galeria!J40</f>
        <v>41.5</v>
      </c>
      <c r="L40" t="s">
        <v>204</v>
      </c>
      <c r="M40">
        <v>35</v>
      </c>
      <c r="N40">
        <v>41.5</v>
      </c>
    </row>
    <row r="41" spans="1:14" x14ac:dyDescent="0.3">
      <c r="A41" t="s">
        <v>204</v>
      </c>
      <c r="B41">
        <f t="shared" si="0"/>
        <v>41.5</v>
      </c>
      <c r="C41">
        <v>41.5</v>
      </c>
      <c r="D41" s="19">
        <f t="shared" si="4"/>
        <v>10.547032315705751</v>
      </c>
      <c r="E41" s="19">
        <f t="shared" si="5"/>
        <v>10.297032315705751</v>
      </c>
      <c r="F41">
        <v>31.1</v>
      </c>
      <c r="G41" s="19">
        <f>Escoamento!O40</f>
        <v>0.29703231570575217</v>
      </c>
      <c r="H41">
        <f>I40-Escoamento!B39*Galeria!P40</f>
        <v>10.249999999999998</v>
      </c>
      <c r="I41" s="40">
        <f t="shared" si="6"/>
        <v>9.9999999999999982</v>
      </c>
      <c r="J41" t="str">
        <f>Galeria!A41</f>
        <v>PV36 - PV37</v>
      </c>
      <c r="K41" s="43">
        <f>Galeria!J41</f>
        <v>41.5</v>
      </c>
      <c r="L41" t="s">
        <v>205</v>
      </c>
      <c r="M41">
        <v>36</v>
      </c>
      <c r="N41">
        <v>41.5</v>
      </c>
    </row>
    <row r="42" spans="1:14" x14ac:dyDescent="0.3">
      <c r="A42" t="s">
        <v>205</v>
      </c>
      <c r="B42">
        <f t="shared" si="0"/>
        <v>41.5</v>
      </c>
      <c r="C42">
        <v>41.5</v>
      </c>
      <c r="D42" s="19">
        <f t="shared" si="4"/>
        <v>10.03259321666035</v>
      </c>
      <c r="E42" s="19">
        <f t="shared" si="5"/>
        <v>9.2825932166603504</v>
      </c>
      <c r="F42">
        <v>32.1</v>
      </c>
      <c r="G42" s="19">
        <f>Escoamento!O41</f>
        <v>0.28259321666035297</v>
      </c>
      <c r="H42">
        <f>I41-Escoamento!B40*Galeria!P41</f>
        <v>9.7499999999999982</v>
      </c>
      <c r="I42" s="40">
        <f t="shared" si="6"/>
        <v>8.9999999999999982</v>
      </c>
      <c r="J42" t="str">
        <f>Galeria!A42</f>
        <v>PV37 - PV38</v>
      </c>
      <c r="K42" s="43">
        <f>Galeria!J42</f>
        <v>41</v>
      </c>
      <c r="L42" t="s">
        <v>206</v>
      </c>
      <c r="M42">
        <v>37</v>
      </c>
      <c r="N42">
        <v>41</v>
      </c>
    </row>
    <row r="43" spans="1:14" x14ac:dyDescent="0.3">
      <c r="A43" t="s">
        <v>206</v>
      </c>
      <c r="B43">
        <f t="shared" si="0"/>
        <v>41</v>
      </c>
      <c r="C43">
        <v>41</v>
      </c>
      <c r="D43" s="19">
        <f t="shared" si="4"/>
        <v>8.8339296940333831</v>
      </c>
      <c r="E43" s="19">
        <f t="shared" si="5"/>
        <v>7.6839296940333845</v>
      </c>
      <c r="F43">
        <v>33.1</v>
      </c>
      <c r="G43" s="19">
        <f>Escoamento!O42</f>
        <v>0.18392969403338649</v>
      </c>
      <c r="H43">
        <f>I42-Escoamento!B41*Galeria!P42</f>
        <v>8.6499999999999968</v>
      </c>
      <c r="I43" s="40">
        <f t="shared" si="6"/>
        <v>7.4999999999999982</v>
      </c>
      <c r="J43" t="str">
        <f>Galeria!A43</f>
        <v>PV38 - PV39</v>
      </c>
      <c r="K43" s="43">
        <f>Galeria!J43</f>
        <v>40</v>
      </c>
      <c r="L43" t="s">
        <v>207</v>
      </c>
      <c r="M43">
        <v>38</v>
      </c>
      <c r="N43">
        <v>40</v>
      </c>
    </row>
    <row r="44" spans="1:14" x14ac:dyDescent="0.3">
      <c r="A44" t="s">
        <v>207</v>
      </c>
      <c r="B44">
        <f t="shared" si="0"/>
        <v>40</v>
      </c>
      <c r="C44">
        <v>40</v>
      </c>
      <c r="D44" s="19">
        <f t="shared" si="4"/>
        <v>4.6704983964713405</v>
      </c>
      <c r="E44" s="19">
        <f t="shared" si="5"/>
        <v>5.6704983964713405</v>
      </c>
      <c r="F44">
        <v>34.1</v>
      </c>
      <c r="G44" s="19">
        <f>Escoamento!O43</f>
        <v>0.17049839647134252</v>
      </c>
      <c r="H44">
        <f>I43-Escoamento!B42*Galeria!P43</f>
        <v>4.4999999999999982</v>
      </c>
      <c r="I44" s="40">
        <f t="shared" si="6"/>
        <v>5.4999999999999982</v>
      </c>
      <c r="J44" t="str">
        <f>Galeria!A44</f>
        <v>PV39 - PV40</v>
      </c>
      <c r="K44" s="43">
        <f>Galeria!J44</f>
        <v>37</v>
      </c>
      <c r="L44" t="s">
        <v>208</v>
      </c>
      <c r="M44">
        <v>39</v>
      </c>
      <c r="N44">
        <v>37</v>
      </c>
    </row>
    <row r="45" spans="1:14" x14ac:dyDescent="0.3">
      <c r="A45" t="s">
        <v>208</v>
      </c>
      <c r="B45">
        <f t="shared" si="0"/>
        <v>37</v>
      </c>
      <c r="C45">
        <v>37</v>
      </c>
      <c r="D45" s="19">
        <f t="shared" si="4"/>
        <v>1.133141815460631</v>
      </c>
      <c r="E45" s="19">
        <f t="shared" si="5"/>
        <v>1.6331418154606314</v>
      </c>
      <c r="F45">
        <v>35.1</v>
      </c>
      <c r="G45" s="19">
        <f>Escoamento!O44</f>
        <v>0.13314181546063281</v>
      </c>
      <c r="H45">
        <f>I44-Escoamento!B43*Galeria!P44</f>
        <v>0.99999999999999822</v>
      </c>
      <c r="I45" s="40">
        <f t="shared" si="6"/>
        <v>1.4999999999999987</v>
      </c>
      <c r="J45" t="str">
        <f>Galeria!A45</f>
        <v>PV42 - PV43</v>
      </c>
      <c r="K45" s="43">
        <f>Galeria!J45</f>
        <v>39.5</v>
      </c>
      <c r="L45" t="s">
        <v>209</v>
      </c>
      <c r="M45">
        <v>42</v>
      </c>
      <c r="N45">
        <v>39.5</v>
      </c>
    </row>
    <row r="46" spans="1:14" x14ac:dyDescent="0.3">
      <c r="A46" t="s">
        <v>217</v>
      </c>
      <c r="B46">
        <f t="shared" si="0"/>
        <v>32.5</v>
      </c>
      <c r="C46">
        <v>32.5</v>
      </c>
      <c r="D46" s="19">
        <f t="shared" si="4"/>
        <v>-1.8533340893002488</v>
      </c>
      <c r="E46" s="19">
        <f t="shared" si="5"/>
        <v>-3.8533340893002488</v>
      </c>
      <c r="F46">
        <v>36.1</v>
      </c>
      <c r="G46" s="19">
        <f>Escoamento!O45</f>
        <v>0.14666591069975296</v>
      </c>
      <c r="H46">
        <f>I45-Escoamento!B44*Galeria!P45</f>
        <v>-2.0000000000000018</v>
      </c>
      <c r="I46" s="40">
        <f t="shared" si="6"/>
        <v>-4.0000000000000018</v>
      </c>
      <c r="J46" t="str">
        <f>Galeria!A46</f>
        <v>PV43 - PV44</v>
      </c>
      <c r="K46" s="43">
        <f>Galeria!J46</f>
        <v>36</v>
      </c>
      <c r="L46" t="s">
        <v>210</v>
      </c>
      <c r="M46">
        <v>43</v>
      </c>
      <c r="N46">
        <v>36</v>
      </c>
    </row>
    <row r="47" spans="1:14" x14ac:dyDescent="0.3">
      <c r="A47" t="s">
        <v>218</v>
      </c>
      <c r="B47">
        <f t="shared" si="0"/>
        <v>33.5</v>
      </c>
      <c r="C47">
        <v>33.5</v>
      </c>
      <c r="D47" s="19">
        <f t="shared" si="4"/>
        <v>-9.7152320459587997</v>
      </c>
      <c r="E47" s="19">
        <f t="shared" si="5"/>
        <v>-3.7152320459587989</v>
      </c>
      <c r="F47">
        <v>37.1</v>
      </c>
      <c r="G47" s="19">
        <f>Escoamento!O46</f>
        <v>0.28476795404120275</v>
      </c>
      <c r="H47">
        <f>I46-Escoamento!B45*Galeria!P46</f>
        <v>-10.000000000000002</v>
      </c>
      <c r="I47" s="40">
        <f t="shared" si="6"/>
        <v>-4.0000000000000018</v>
      </c>
      <c r="J47" t="str">
        <f>Galeria!A47</f>
        <v>PV44 - PV45</v>
      </c>
      <c r="K47" s="43">
        <f>Galeria!J47</f>
        <v>30</v>
      </c>
      <c r="L47" t="s">
        <v>211</v>
      </c>
      <c r="M47">
        <v>44</v>
      </c>
      <c r="N47">
        <v>30</v>
      </c>
    </row>
    <row r="48" spans="1:14" x14ac:dyDescent="0.3">
      <c r="A48" t="s">
        <v>209</v>
      </c>
      <c r="B48">
        <f t="shared" si="0"/>
        <v>39.5</v>
      </c>
      <c r="C48">
        <v>39.5</v>
      </c>
      <c r="D48" s="19">
        <f t="shared" si="4"/>
        <v>-3.8439114602868276</v>
      </c>
      <c r="E48" s="19">
        <f t="shared" si="5"/>
        <v>1.3060885397131712</v>
      </c>
      <c r="F48">
        <v>38.1</v>
      </c>
      <c r="G48" s="19">
        <f>Escoamento!O47</f>
        <v>0.30608853971317262</v>
      </c>
      <c r="H48">
        <f>I47-Escoamento!B46*Galeria!P47</f>
        <v>-4.1500000000000004</v>
      </c>
      <c r="I48" s="40">
        <f t="shared" si="6"/>
        <v>0.99999999999999856</v>
      </c>
      <c r="J48" t="str">
        <f>Galeria!A48</f>
        <v>PV45 - PV46</v>
      </c>
      <c r="K48" s="43">
        <f>Galeria!J48</f>
        <v>32.5</v>
      </c>
      <c r="L48" t="s">
        <v>212</v>
      </c>
      <c r="M48">
        <v>45</v>
      </c>
      <c r="N48">
        <v>32.5</v>
      </c>
    </row>
    <row r="49" spans="1:14" x14ac:dyDescent="0.3">
      <c r="A49" t="s">
        <v>210</v>
      </c>
      <c r="B49">
        <f t="shared" si="0"/>
        <v>36</v>
      </c>
      <c r="C49">
        <v>36</v>
      </c>
      <c r="D49" s="19">
        <f t="shared" si="4"/>
        <v>1.0480133954649791</v>
      </c>
      <c r="E49" s="19">
        <f t="shared" si="5"/>
        <v>-3.2019866045350209</v>
      </c>
      <c r="F49">
        <v>39.1</v>
      </c>
      <c r="G49" s="19">
        <f>Escoamento!O48</f>
        <v>0.29801339546498051</v>
      </c>
      <c r="H49">
        <f>I48-Escoamento!B47*Galeria!P48</f>
        <v>0.74999999999999856</v>
      </c>
      <c r="I49" s="40">
        <f t="shared" si="6"/>
        <v>-3.5000000000000013</v>
      </c>
      <c r="J49" t="str">
        <f>Galeria!A49</f>
        <v>PV46 - PV47</v>
      </c>
      <c r="K49" s="43">
        <f>Galeria!J49</f>
        <v>31.5</v>
      </c>
      <c r="L49" t="s">
        <v>213</v>
      </c>
      <c r="M49">
        <v>46</v>
      </c>
      <c r="N49">
        <v>31.5</v>
      </c>
    </row>
    <row r="50" spans="1:14" x14ac:dyDescent="0.3">
      <c r="A50" t="s">
        <v>211</v>
      </c>
      <c r="B50">
        <f t="shared" si="0"/>
        <v>30</v>
      </c>
      <c r="C50">
        <v>30</v>
      </c>
      <c r="D50" s="19">
        <f t="shared" si="4"/>
        <v>-3.4126573707160914</v>
      </c>
      <c r="E50" s="19">
        <f t="shared" si="5"/>
        <v>-10.162657370716092</v>
      </c>
      <c r="F50">
        <v>40.1</v>
      </c>
      <c r="G50" s="19">
        <f>Escoamento!O49</f>
        <v>0.33734262928390985</v>
      </c>
      <c r="H50">
        <f>I49-Escoamento!B48*Galeria!P49</f>
        <v>-3.7500000000000013</v>
      </c>
      <c r="I50" s="40">
        <f t="shared" si="6"/>
        <v>-10.500000000000002</v>
      </c>
      <c r="J50" t="str">
        <f>Galeria!A50</f>
        <v>PV47 - PV48</v>
      </c>
      <c r="K50" s="43">
        <f>Galeria!J50</f>
        <v>30.5</v>
      </c>
      <c r="L50" t="s">
        <v>214</v>
      </c>
      <c r="M50">
        <v>47</v>
      </c>
      <c r="N50">
        <v>30.5</v>
      </c>
    </row>
    <row r="51" spans="1:14" x14ac:dyDescent="0.3">
      <c r="A51" t="s">
        <v>212</v>
      </c>
      <c r="B51">
        <f t="shared" si="0"/>
        <v>32.5</v>
      </c>
      <c r="C51">
        <v>32.5</v>
      </c>
      <c r="D51" s="19">
        <f t="shared" si="4"/>
        <v>-10.389830253557991</v>
      </c>
      <c r="E51" s="19">
        <f t="shared" si="5"/>
        <v>-8.6398302535579905</v>
      </c>
      <c r="F51">
        <v>41.1</v>
      </c>
      <c r="G51" s="19">
        <f>Escoamento!O50</f>
        <v>0.36016974644201144</v>
      </c>
      <c r="H51">
        <f>I50-Escoamento!B49*Galeria!P50</f>
        <v>-10.750000000000002</v>
      </c>
      <c r="I51" s="40">
        <f t="shared" si="6"/>
        <v>-9.0000000000000018</v>
      </c>
      <c r="J51" t="str">
        <f>Galeria!A51</f>
        <v>PV48 - PV49</v>
      </c>
      <c r="K51" s="43">
        <f>Galeria!J51</f>
        <v>31</v>
      </c>
      <c r="L51" t="s">
        <v>215</v>
      </c>
      <c r="M51">
        <v>48</v>
      </c>
      <c r="N51">
        <v>31</v>
      </c>
    </row>
    <row r="52" spans="1:14" x14ac:dyDescent="0.3">
      <c r="A52" t="s">
        <v>213</v>
      </c>
      <c r="B52">
        <f t="shared" si="0"/>
        <v>31.5</v>
      </c>
      <c r="C52">
        <v>31.5</v>
      </c>
      <c r="D52" s="19">
        <f t="shared" si="4"/>
        <v>-8.9116610498764857</v>
      </c>
      <c r="E52" s="19">
        <f t="shared" si="5"/>
        <v>-10.661661049876486</v>
      </c>
      <c r="F52">
        <v>42.1</v>
      </c>
      <c r="G52" s="19">
        <f>Escoamento!O51</f>
        <v>0.33833895012351611</v>
      </c>
      <c r="H52">
        <f>I51-Escoamento!B50*Galeria!P51</f>
        <v>-9.2500000000000018</v>
      </c>
      <c r="I52" s="40">
        <f t="shared" si="6"/>
        <v>-11.000000000000002</v>
      </c>
      <c r="J52" t="str">
        <f>Galeria!A52</f>
        <v>PV49 - PV40</v>
      </c>
      <c r="K52" s="43">
        <f>Galeria!J52</f>
        <v>32</v>
      </c>
      <c r="L52" t="s">
        <v>216</v>
      </c>
      <c r="M52">
        <v>49</v>
      </c>
      <c r="N52">
        <v>32</v>
      </c>
    </row>
    <row r="53" spans="1:14" x14ac:dyDescent="0.3">
      <c r="A53" t="s">
        <v>214</v>
      </c>
      <c r="B53">
        <f t="shared" si="0"/>
        <v>30.5</v>
      </c>
      <c r="C53">
        <v>30.5</v>
      </c>
      <c r="D53" s="19">
        <f t="shared" si="4"/>
        <v>-10.93700171108455</v>
      </c>
      <c r="E53" s="19">
        <f t="shared" si="5"/>
        <v>-12.68700171108455</v>
      </c>
      <c r="F53">
        <v>43.1</v>
      </c>
      <c r="G53" s="19">
        <f>Escoamento!O52</f>
        <v>0.31299828891545223</v>
      </c>
      <c r="H53">
        <f>I52-Escoamento!B51*Galeria!P52</f>
        <v>-11.250000000000002</v>
      </c>
      <c r="I53" s="40">
        <f t="shared" si="6"/>
        <v>-13.000000000000002</v>
      </c>
      <c r="J53" t="str">
        <f>Galeria!A53</f>
        <v>PV40 - PV41</v>
      </c>
      <c r="K53" s="43">
        <f>Galeria!J53</f>
        <v>32.5</v>
      </c>
      <c r="L53" t="s">
        <v>217</v>
      </c>
      <c r="M53">
        <v>40</v>
      </c>
      <c r="N53">
        <v>32.5</v>
      </c>
    </row>
    <row r="54" spans="1:14" x14ac:dyDescent="0.3">
      <c r="A54" t="s">
        <v>215</v>
      </c>
      <c r="B54">
        <f t="shared" si="0"/>
        <v>31</v>
      </c>
      <c r="C54">
        <v>31</v>
      </c>
      <c r="D54" s="19">
        <f t="shared" si="4"/>
        <v>-12.796041568550915</v>
      </c>
      <c r="E54" s="19">
        <f t="shared" si="5"/>
        <v>-13.046041568550915</v>
      </c>
      <c r="F54">
        <v>44.1</v>
      </c>
      <c r="G54" s="19">
        <f>Escoamento!O53</f>
        <v>0.45395843144908565</v>
      </c>
      <c r="H54">
        <f>I53-Escoamento!B52*Galeria!P53</f>
        <v>-13.250000000000002</v>
      </c>
      <c r="I54" s="40">
        <f t="shared" si="6"/>
        <v>-13.500000000000002</v>
      </c>
      <c r="J54" t="str">
        <f>Galeria!A54</f>
        <v>PV41 - PV23</v>
      </c>
      <c r="K54" s="43">
        <f>Galeria!J54</f>
        <v>33.5</v>
      </c>
      <c r="L54" t="s">
        <v>218</v>
      </c>
      <c r="M54">
        <v>41</v>
      </c>
      <c r="N54">
        <v>33.5</v>
      </c>
    </row>
    <row r="55" spans="1:14" x14ac:dyDescent="0.3">
      <c r="A55" t="s">
        <v>216</v>
      </c>
      <c r="B55">
        <f t="shared" si="0"/>
        <v>32</v>
      </c>
      <c r="C55">
        <v>32</v>
      </c>
      <c r="D55" s="19">
        <f t="shared" ref="D55" si="7">H55+G55</f>
        <v>-13.367519793760954</v>
      </c>
      <c r="E55" s="19">
        <f t="shared" ref="E55" si="8">I55+G55</f>
        <v>-13.117519793760954</v>
      </c>
      <c r="F55">
        <v>45.1</v>
      </c>
      <c r="G55" s="19">
        <f>Escoamento!O54</f>
        <v>0.38248020623904883</v>
      </c>
      <c r="H55">
        <f>I54-Escoamento!B53*Galeria!P54</f>
        <v>-13.750000000000002</v>
      </c>
      <c r="I55" s="40">
        <f t="shared" ref="I55" si="9">C55-F55-0.4</f>
        <v>-13.500000000000002</v>
      </c>
      <c r="J55" t="str">
        <f>Galeria!A55</f>
        <v>PV23 - Des.</v>
      </c>
      <c r="K55" s="43">
        <f>Galeria!J55</f>
        <v>33.5</v>
      </c>
      <c r="L55" t="s">
        <v>219</v>
      </c>
      <c r="M55">
        <v>23</v>
      </c>
      <c r="N55">
        <v>33.5</v>
      </c>
    </row>
    <row r="56" spans="1:14" x14ac:dyDescent="0.3">
      <c r="G56" s="19"/>
    </row>
    <row r="57" spans="1:14" x14ac:dyDescent="0.3">
      <c r="G57" s="19"/>
    </row>
    <row r="58" spans="1:14" x14ac:dyDescent="0.3">
      <c r="G58" s="19"/>
    </row>
    <row r="59" spans="1:14" x14ac:dyDescent="0.3">
      <c r="G59" s="19"/>
    </row>
    <row r="60" spans="1:14" x14ac:dyDescent="0.3">
      <c r="G60" s="19"/>
    </row>
    <row r="61" spans="1:14" x14ac:dyDescent="0.3">
      <c r="G61" s="19"/>
    </row>
    <row r="62" spans="1:14" x14ac:dyDescent="0.3">
      <c r="G62" s="19"/>
    </row>
    <row r="63" spans="1:14" x14ac:dyDescent="0.3">
      <c r="G63" s="19"/>
    </row>
  </sheetData>
  <mergeCells count="5">
    <mergeCell ref="G5:G6"/>
    <mergeCell ref="H5:I5"/>
    <mergeCell ref="A1:I4"/>
    <mergeCell ref="C5:E5"/>
    <mergeCell ref="F5:F6"/>
  </mergeCells>
  <phoneticPr fontId="3" type="noConversion"/>
  <pageMargins left="0.511811024" right="0.511811024" top="0.78740157499999996" bottom="0.78740157499999996" header="0.31496062000000002" footer="0.31496062000000002"/>
  <pageSetup paperSize="9" scale="73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6AF2AA-9D97-4E24-8910-8B0FEC77F679}">
  <dimension ref="A1:X56"/>
  <sheetViews>
    <sheetView view="pageBreakPreview" zoomScale="85" zoomScaleNormal="89" zoomScaleSheetLayoutView="85" workbookViewId="0">
      <selection activeCell="B7" sqref="B7"/>
    </sheetView>
  </sheetViews>
  <sheetFormatPr defaultRowHeight="14.4" x14ac:dyDescent="0.3"/>
  <cols>
    <col min="1" max="1" width="14.88671875" customWidth="1"/>
    <col min="2" max="3" width="8.44140625" bestFit="1" customWidth="1"/>
    <col min="4" max="4" width="13" bestFit="1" customWidth="1"/>
    <col min="5" max="5" width="12.77734375" bestFit="1" customWidth="1"/>
    <col min="6" max="6" width="8.77734375" bestFit="1" customWidth="1"/>
    <col min="7" max="7" width="8.6640625" bestFit="1" customWidth="1"/>
    <col min="8" max="8" width="5.44140625" bestFit="1" customWidth="1"/>
    <col min="9" max="9" width="13.21875" bestFit="1" customWidth="1"/>
    <col min="10" max="10" width="12.33203125" bestFit="1" customWidth="1"/>
    <col min="11" max="11" width="13.44140625" customWidth="1"/>
    <col min="12" max="12" width="9.21875" bestFit="1" customWidth="1"/>
    <col min="13" max="13" width="9.5546875" bestFit="1" customWidth="1"/>
    <col min="14" max="14" width="6.88671875" bestFit="1" customWidth="1"/>
    <col min="15" max="15" width="11.88671875" bestFit="1" customWidth="1"/>
    <col min="16" max="16" width="12.44140625" bestFit="1" customWidth="1"/>
    <col min="17" max="17" width="10" bestFit="1" customWidth="1"/>
    <col min="18" max="18" width="12.6640625" bestFit="1" customWidth="1"/>
    <col min="19" max="19" width="12.33203125" bestFit="1" customWidth="1"/>
    <col min="20" max="20" width="10.109375" bestFit="1" customWidth="1"/>
    <col min="21" max="24" width="11" customWidth="1"/>
  </cols>
  <sheetData>
    <row r="1" spans="1:24" ht="14.4" customHeight="1" x14ac:dyDescent="0.3">
      <c r="A1" s="166" t="s">
        <v>33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  <c r="R1" s="166"/>
      <c r="S1" s="166"/>
      <c r="T1" s="166"/>
      <c r="V1" s="11"/>
    </row>
    <row r="2" spans="1:24" x14ac:dyDescent="0.3">
      <c r="A2" s="166"/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V2" s="11"/>
    </row>
    <row r="3" spans="1:24" ht="15" thickBot="1" x14ac:dyDescent="0.35">
      <c r="A3" s="169"/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V3" s="11"/>
    </row>
    <row r="4" spans="1:24" ht="30" customHeight="1" x14ac:dyDescent="0.3">
      <c r="A4" s="182" t="s">
        <v>0</v>
      </c>
      <c r="B4" s="13" t="s">
        <v>1</v>
      </c>
      <c r="C4" s="7" t="s">
        <v>114</v>
      </c>
      <c r="D4" s="7" t="s">
        <v>17</v>
      </c>
      <c r="E4" s="7" t="s">
        <v>78</v>
      </c>
      <c r="F4" s="7" t="s">
        <v>76</v>
      </c>
      <c r="G4" s="7" t="s">
        <v>75</v>
      </c>
      <c r="H4" s="16" t="s">
        <v>50</v>
      </c>
      <c r="I4" s="7" t="s">
        <v>28</v>
      </c>
      <c r="J4" s="6" t="s">
        <v>30</v>
      </c>
      <c r="K4" s="6" t="s">
        <v>83</v>
      </c>
      <c r="L4" s="6" t="s">
        <v>85</v>
      </c>
      <c r="M4" s="6" t="s">
        <v>89</v>
      </c>
      <c r="N4" s="7" t="s">
        <v>21</v>
      </c>
      <c r="O4" s="6" t="s">
        <v>87</v>
      </c>
      <c r="P4" s="6" t="s">
        <v>23</v>
      </c>
      <c r="Q4" s="6" t="s">
        <v>24</v>
      </c>
      <c r="R4" s="7" t="s">
        <v>26</v>
      </c>
      <c r="S4" s="7" t="s">
        <v>43</v>
      </c>
      <c r="T4" s="15" t="s">
        <v>46</v>
      </c>
      <c r="V4" s="1"/>
      <c r="W4" s="2"/>
      <c r="X4" s="2"/>
    </row>
    <row r="5" spans="1:24" ht="30" customHeight="1" thickBot="1" x14ac:dyDescent="0.35">
      <c r="A5" s="183"/>
      <c r="B5" s="9" t="s">
        <v>15</v>
      </c>
      <c r="C5" s="4" t="s">
        <v>14</v>
      </c>
      <c r="D5" s="5" t="s">
        <v>20</v>
      </c>
      <c r="E5" s="5" t="s">
        <v>79</v>
      </c>
      <c r="F5" s="4" t="s">
        <v>19</v>
      </c>
      <c r="G5" s="4" t="s">
        <v>77</v>
      </c>
      <c r="H5" s="12" t="s">
        <v>51</v>
      </c>
      <c r="I5" s="12" t="s">
        <v>29</v>
      </c>
      <c r="J5" s="12" t="s">
        <v>31</v>
      </c>
      <c r="K5" s="12" t="s">
        <v>84</v>
      </c>
      <c r="L5" s="12" t="s">
        <v>86</v>
      </c>
      <c r="M5" s="12" t="s">
        <v>90</v>
      </c>
      <c r="N5" s="4" t="s">
        <v>22</v>
      </c>
      <c r="O5" s="12" t="s">
        <v>88</v>
      </c>
      <c r="P5" s="4" t="s">
        <v>16</v>
      </c>
      <c r="Q5" s="4" t="s">
        <v>25</v>
      </c>
      <c r="R5" s="17" t="s">
        <v>27</v>
      </c>
      <c r="S5" s="17" t="s">
        <v>44</v>
      </c>
      <c r="T5" s="14" t="s">
        <v>45</v>
      </c>
      <c r="V5" s="2"/>
      <c r="W5" s="1"/>
      <c r="X5" s="1"/>
    </row>
    <row r="6" spans="1:24" x14ac:dyDescent="0.3">
      <c r="A6" s="22" t="str">
        <f>Galeria!A7</f>
        <v>PV1 - PV2</v>
      </c>
      <c r="B6" s="26">
        <f>Galeria!B7</f>
        <v>28.758700000000001</v>
      </c>
      <c r="C6" s="24">
        <f>Galeria!I7</f>
        <v>2.3033358591697362E-2</v>
      </c>
      <c r="D6" s="36">
        <f>Galeria!P7</f>
        <v>5.2158129539930521E-2</v>
      </c>
      <c r="E6" s="25">
        <v>1.2999999999999999E-2</v>
      </c>
      <c r="F6" s="26">
        <f>1.55*(((C6*E6)/(D6^0.5))^(3/8))*1000</f>
        <v>128.66089095963378</v>
      </c>
      <c r="G6" s="48">
        <f>IF(F6&lt;100,100,IF(F6&lt;150,150,IF(F6&lt;200,200,IF(F6&lt;250,250,IF(F6&lt;300,300,IF(F6&lt;375,375,IF(F6&lt;400,400,IF(F6&lt;450,450,IF(F6&lt;500,500,IF(F6&lt;600,600,IF(F6&lt;750,750,0)))))))))))</f>
        <v>150</v>
      </c>
      <c r="H6" s="27">
        <v>3.4690440909752955</v>
      </c>
      <c r="I6" s="24">
        <f>(1/4)*(1-(SIN(H6)/H6))*(G6/1000)</f>
        <v>4.0976796367364933E-2</v>
      </c>
      <c r="J6" s="24">
        <f>(1/8)*(H6-SIN(H6))*((G6/1000)^2)</f>
        <v>1.0661273497897895E-2</v>
      </c>
      <c r="K6" s="24">
        <f>(1/E6)*J6*(I6^(2/3))*(D6^0.5)</f>
        <v>2.2261379380225061E-2</v>
      </c>
      <c r="L6" s="27">
        <f>C6-K6</f>
        <v>7.719792114723005E-4</v>
      </c>
      <c r="M6" s="24">
        <f>(G6/1000)*SIN(H6/2)</f>
        <v>0.14799402871429929</v>
      </c>
      <c r="N6" s="26">
        <f>(1/2)*(1-COS(H6/2))*100</f>
        <v>58.149761175172564</v>
      </c>
      <c r="O6" s="24">
        <f>(N6/100)*G6/1000</f>
        <v>8.7224641762758848E-2</v>
      </c>
      <c r="P6" s="24">
        <f>C6/J6</f>
        <v>2.1604697221433158</v>
      </c>
      <c r="Q6" s="24">
        <f>6*(SQRT(9.81*I6))</f>
        <v>3.8041247883184122</v>
      </c>
      <c r="R6" s="24">
        <f>9810*I6*D6</f>
        <v>20.966648650522277</v>
      </c>
      <c r="S6" s="24">
        <f>((C6^2)/(9.81*M6^2))^(1/3)</f>
        <v>0.13516130666071843</v>
      </c>
      <c r="T6" s="24">
        <f>P6/(SQRT(9.81*(O6)))</f>
        <v>2.33557642755353</v>
      </c>
      <c r="U6">
        <v>150</v>
      </c>
      <c r="V6" t="str">
        <f>IF((U6/G6)=1,"ok","pqp")</f>
        <v>ok</v>
      </c>
    </row>
    <row r="7" spans="1:24" x14ac:dyDescent="0.3">
      <c r="A7" s="22" t="str">
        <f>Galeria!A8</f>
        <v>PV2 - PV3</v>
      </c>
      <c r="B7" s="26">
        <f>Galeria!B8</f>
        <v>28.758700000000001</v>
      </c>
      <c r="C7" s="24">
        <f>Galeria!I8</f>
        <v>3.8146331371239635E-2</v>
      </c>
      <c r="D7" s="36">
        <f>Galeria!P8</f>
        <v>9.5623237489872628E-2</v>
      </c>
      <c r="E7" s="25">
        <v>1.2999999999999999E-2</v>
      </c>
      <c r="F7" s="26">
        <f t="shared" ref="F7:F10" si="0">1.55*(((C7*E7)/(D7^0.5))^(3/8))*1000</f>
        <v>138.75530649150653</v>
      </c>
      <c r="G7" s="48">
        <f t="shared" ref="G7:G54" si="1">IF(F7&lt;100,100,IF(F7&lt;150,150,IF(F7&lt;200,200,IF(F7&lt;250,250,IF(F7&lt;300,300,IF(F7&lt;375,375,IF(F7&lt;400,400,IF(F7&lt;450,450,IF(F7&lt;500,500,IF(F7&lt;600,600,IF(F7&lt;750,750,0)))))))))))</f>
        <v>150</v>
      </c>
      <c r="H7" s="27">
        <v>3.8472098679265505</v>
      </c>
      <c r="I7" s="24">
        <f t="shared" ref="I7:I10" si="2">(1/4)*(1-(SIN(H7)/H7))*(G7/1000)</f>
        <v>4.3821176312529901E-2</v>
      </c>
      <c r="J7" s="24">
        <f>(1/8)*(H7-SIN(H7))*((G7/1000)^2)</f>
        <v>1.2644194645028566E-2</v>
      </c>
      <c r="K7" s="24">
        <f t="shared" ref="K7:K10" si="3">(1/E7)*J7*(I7^(2/3))*(D7^0.5)</f>
        <v>3.7383982356788421E-2</v>
      </c>
      <c r="L7" s="27">
        <f t="shared" ref="L7:L10" si="4">C7-K7</f>
        <v>7.623490144512135E-4</v>
      </c>
      <c r="M7" s="24">
        <f t="shared" ref="M7:M10" si="5">(G7/1000)*SIN(H7/2)</f>
        <v>0.14076089157917207</v>
      </c>
      <c r="N7" s="26">
        <f t="shared" ref="N7:N10" si="6">(1/2)*(1-COS(H7/2))*100</f>
        <v>67.2767390243406</v>
      </c>
      <c r="O7" s="24">
        <f t="shared" ref="O7:O10" si="7">(N7/100)*G7/1000</f>
        <v>0.10091510853651089</v>
      </c>
      <c r="P7" s="24">
        <f>C7/J7</f>
        <v>3.0169047884942182</v>
      </c>
      <c r="Q7" s="24">
        <f>6*(SQRT(9.81*I7))</f>
        <v>3.9339403435401845</v>
      </c>
      <c r="R7" s="24">
        <f t="shared" ref="R7:R10" si="8">9810*I7*D7</f>
        <v>41.107066173758739</v>
      </c>
      <c r="S7" s="24">
        <f t="shared" ref="S7:S9" si="9">((C7^2)/(9.81*M7^2))^(1/3)</f>
        <v>0.19562491954701325</v>
      </c>
      <c r="T7" s="24">
        <f t="shared" ref="T7:T10" si="10">P7/(SQRT(9.81*(O7)))</f>
        <v>3.0321382906284446</v>
      </c>
      <c r="U7">
        <v>150</v>
      </c>
      <c r="V7" t="str">
        <f t="shared" ref="V7:V54" si="11">IF((U7/G7)=1,"ok","pqp")</f>
        <v>ok</v>
      </c>
    </row>
    <row r="8" spans="1:24" x14ac:dyDescent="0.3">
      <c r="A8" s="22" t="str">
        <f>Galeria!A9</f>
        <v>PV3 - PV4</v>
      </c>
      <c r="B8" s="26">
        <f>Galeria!B9</f>
        <v>45.970300000000002</v>
      </c>
      <c r="C8" s="24">
        <f>Galeria!I9</f>
        <v>6.2874916317556595E-2</v>
      </c>
      <c r="D8" s="36">
        <f>Galeria!P9</f>
        <v>5.4382938549454751E-2</v>
      </c>
      <c r="E8" s="25">
        <v>1.2999999999999999E-2</v>
      </c>
      <c r="F8" s="26">
        <f t="shared" si="0"/>
        <v>186.03310598030612</v>
      </c>
      <c r="G8" s="48">
        <f t="shared" si="1"/>
        <v>200</v>
      </c>
      <c r="H8" s="27">
        <v>3.9210364928487698</v>
      </c>
      <c r="I8" s="24">
        <f t="shared" si="2"/>
        <v>5.896298631159469E-2</v>
      </c>
      <c r="J8" s="24">
        <f t="shared" ref="J8:J10" si="12">(1/8)*(H8-SIN(H8))*((G8/1000)^2)</f>
        <v>2.311960210551053E-2</v>
      </c>
      <c r="K8" s="24">
        <f t="shared" si="3"/>
        <v>6.2828205083802435E-2</v>
      </c>
      <c r="L8" s="27">
        <f t="shared" si="4"/>
        <v>4.6711233754159753E-5</v>
      </c>
      <c r="M8" s="24">
        <f t="shared" si="5"/>
        <v>0.18500294940605766</v>
      </c>
      <c r="N8" s="26">
        <f t="shared" si="6"/>
        <v>68.996560068634253</v>
      </c>
      <c r="O8" s="24">
        <f t="shared" si="7"/>
        <v>0.1379931201372685</v>
      </c>
      <c r="P8" s="24">
        <f t="shared" ref="P8:P10" si="13">C8/J8</f>
        <v>2.7195501043060957</v>
      </c>
      <c r="Q8" s="24">
        <f t="shared" ref="Q8:Q10" si="14">6*(SQRT(9.81*I8))</f>
        <v>4.5632628946624125</v>
      </c>
      <c r="R8" s="24">
        <f t="shared" si="8"/>
        <v>31.456554325115558</v>
      </c>
      <c r="S8" s="24">
        <f t="shared" si="9"/>
        <v>0.22749726302416026</v>
      </c>
      <c r="T8" s="24">
        <f t="shared" si="10"/>
        <v>2.3374043266853906</v>
      </c>
      <c r="U8">
        <v>200</v>
      </c>
      <c r="V8" t="str">
        <f t="shared" si="11"/>
        <v>ok</v>
      </c>
    </row>
    <row r="9" spans="1:24" x14ac:dyDescent="0.3">
      <c r="A9" s="22" t="str">
        <f>Galeria!A10</f>
        <v>PV4 - PV5</v>
      </c>
      <c r="B9" s="26">
        <f>Galeria!B10</f>
        <v>45.970300000000002</v>
      </c>
      <c r="C9" s="24">
        <f>Galeria!I10</f>
        <v>8.159266712614105E-2</v>
      </c>
      <c r="D9" s="36">
        <f>Galeria!P10</f>
        <v>8.7012701679127294E-3</v>
      </c>
      <c r="E9" s="25">
        <v>1.2999999999999999E-2</v>
      </c>
      <c r="F9" s="26">
        <f t="shared" si="0"/>
        <v>289.23968601890579</v>
      </c>
      <c r="G9" s="48">
        <f t="shared" si="1"/>
        <v>300</v>
      </c>
      <c r="H9" s="27">
        <v>4.1576335500642436</v>
      </c>
      <c r="I9" s="24">
        <f t="shared" si="2"/>
        <v>9.0333770021495299E-2</v>
      </c>
      <c r="J9" s="24">
        <f t="shared" si="12"/>
        <v>5.6336206941773458E-2</v>
      </c>
      <c r="K9" s="24">
        <f t="shared" si="3"/>
        <v>8.1383369674144848E-2</v>
      </c>
      <c r="L9" s="27">
        <f t="shared" si="4"/>
        <v>2.0929745199620153E-4</v>
      </c>
      <c r="M9" s="24">
        <f t="shared" si="5"/>
        <v>0.2621127507496438</v>
      </c>
      <c r="N9" s="26">
        <f t="shared" si="6"/>
        <v>74.322432429558091</v>
      </c>
      <c r="O9" s="24">
        <f t="shared" si="7"/>
        <v>0.22296729728867429</v>
      </c>
      <c r="P9" s="24">
        <f t="shared" si="13"/>
        <v>1.4483166609081708</v>
      </c>
      <c r="Q9" s="24">
        <f t="shared" si="14"/>
        <v>5.6482098244303289</v>
      </c>
      <c r="R9" s="24">
        <f t="shared" si="8"/>
        <v>7.7108418601650692</v>
      </c>
      <c r="S9" s="24">
        <f t="shared" si="9"/>
        <v>0.2145617578407836</v>
      </c>
      <c r="T9" s="24">
        <f t="shared" si="10"/>
        <v>0.97928350245630902</v>
      </c>
      <c r="U9">
        <v>300</v>
      </c>
      <c r="V9" t="str">
        <f t="shared" si="11"/>
        <v>ok</v>
      </c>
    </row>
    <row r="10" spans="1:24" x14ac:dyDescent="0.3">
      <c r="A10" s="22" t="str">
        <f>Galeria!A11</f>
        <v>PV24 - PV25</v>
      </c>
      <c r="B10" s="26">
        <f>Galeria!B11</f>
        <v>37.014200000000002</v>
      </c>
      <c r="C10" s="24">
        <f>Galeria!I11</f>
        <v>6.6989143584795297E-2</v>
      </c>
      <c r="D10" s="36">
        <f>Galeria!P11</f>
        <v>1.08066633886454E-2</v>
      </c>
      <c r="E10" s="25">
        <v>1.2999999999999999E-2</v>
      </c>
      <c r="F10" s="26">
        <f t="shared" si="0"/>
        <v>257.92588857128283</v>
      </c>
      <c r="G10" s="48">
        <f t="shared" si="1"/>
        <v>300</v>
      </c>
      <c r="H10" s="27">
        <v>3.5366517449368273</v>
      </c>
      <c r="I10" s="24">
        <f t="shared" si="2"/>
        <v>8.3161590898743185E-2</v>
      </c>
      <c r="J10" s="24">
        <f t="shared" si="12"/>
        <v>4.4117037834564402E-2</v>
      </c>
      <c r="K10" s="24">
        <f t="shared" si="3"/>
        <v>6.7213626823189723E-2</v>
      </c>
      <c r="L10" s="27">
        <f t="shared" si="4"/>
        <v>-2.2448323839442674E-4</v>
      </c>
      <c r="M10" s="24">
        <f t="shared" si="5"/>
        <v>0.29416631703219398</v>
      </c>
      <c r="N10" s="26">
        <f t="shared" si="6"/>
        <v>59.812375864345356</v>
      </c>
      <c r="O10" s="24">
        <f t="shared" si="7"/>
        <v>0.17943712759303609</v>
      </c>
      <c r="P10" s="24">
        <f t="shared" si="13"/>
        <v>1.5184415562078213</v>
      </c>
      <c r="Q10" s="24">
        <f t="shared" si="14"/>
        <v>5.4193493559467214</v>
      </c>
      <c r="R10" s="24">
        <f t="shared" si="8"/>
        <v>8.8162403263252234</v>
      </c>
      <c r="S10" s="24">
        <f>((C10^2)/(9.81*M10^2))^(1/3)</f>
        <v>0.1742012709319882</v>
      </c>
      <c r="T10" s="24">
        <f t="shared" si="10"/>
        <v>1.1444779319377729</v>
      </c>
      <c r="U10">
        <v>300</v>
      </c>
      <c r="V10" t="str">
        <f t="shared" si="11"/>
        <v>ok</v>
      </c>
    </row>
    <row r="11" spans="1:24" x14ac:dyDescent="0.3">
      <c r="A11" s="22" t="str">
        <f>Galeria!A12</f>
        <v>PV25 - PV26</v>
      </c>
      <c r="B11" s="26">
        <f>Galeria!B12</f>
        <v>36.978299999999997</v>
      </c>
      <c r="C11" s="24">
        <f>Galeria!I12</f>
        <v>8.5770823787403638E-2</v>
      </c>
      <c r="D11" s="36">
        <f>Galeria!P12</f>
        <v>6.7607218287482123E-3</v>
      </c>
      <c r="E11" s="25">
        <v>1.2999999999999999E-2</v>
      </c>
      <c r="F11" s="26">
        <f t="shared" ref="F11:F53" si="15">1.55*(((C11*E11)/(D11^0.5))^(3/8))*1000</f>
        <v>308.98621057070471</v>
      </c>
      <c r="G11" s="48">
        <f t="shared" si="1"/>
        <v>375</v>
      </c>
      <c r="H11" s="27">
        <v>3.3654377060385698</v>
      </c>
      <c r="I11" s="24">
        <f t="shared" ref="I11:I53" si="16">(1/4)*(1-(SIN(H11)/H11))*(G11/1000)</f>
        <v>9.9933641537797796E-2</v>
      </c>
      <c r="J11" s="24">
        <f t="shared" ref="J11:J53" si="17">(1/8)*(H11-SIN(H11))*((G11/1000)^2)</f>
        <v>6.3060083499946309E-2</v>
      </c>
      <c r="K11" s="24">
        <f t="shared" ref="K11:K53" si="18">(1/E11)*J11*(I11^(2/3))*(D11^0.5)</f>
        <v>8.5891238467370928E-2</v>
      </c>
      <c r="L11" s="27">
        <f t="shared" ref="L11:L53" si="19">C11-K11</f>
        <v>-1.2041467996729005E-4</v>
      </c>
      <c r="M11" s="24">
        <f t="shared" ref="M11:M53" si="20">(G11/1000)*SIN(H11/2)</f>
        <v>0.37265370357785954</v>
      </c>
      <c r="N11" s="26">
        <f t="shared" ref="N11:N53" si="21">(1/2)*(1-COS(H11/2))*100</f>
        <v>55.584450172405987</v>
      </c>
      <c r="O11" s="24">
        <f t="shared" ref="O11:O53" si="22">(N11/100)*G11/1000</f>
        <v>0.20844168814652245</v>
      </c>
      <c r="P11" s="24">
        <f t="shared" ref="P11:P53" si="23">C11/J11</f>
        <v>1.3601444690043372</v>
      </c>
      <c r="Q11" s="24">
        <f t="shared" ref="Q11:Q53" si="24">6*(SQRT(9.81*I11))</f>
        <v>5.9407545686965282</v>
      </c>
      <c r="R11" s="24">
        <f t="shared" ref="R11:R53" si="25">9810*I11*D11</f>
        <v>6.6278670428724169</v>
      </c>
      <c r="S11" s="24">
        <f t="shared" ref="S11:S53" si="26">((C11^2)/(9.81*M11^2))^(1/3)</f>
        <v>0.17544180649383825</v>
      </c>
      <c r="T11" s="24">
        <f t="shared" ref="T11:T53" si="27">P11/(SQRT(9.81*(O11)))</f>
        <v>0.95117022138175411</v>
      </c>
      <c r="U11">
        <v>375</v>
      </c>
      <c r="V11" t="str">
        <f t="shared" si="11"/>
        <v>ok</v>
      </c>
    </row>
    <row r="12" spans="1:24" x14ac:dyDescent="0.3">
      <c r="A12" s="22" t="str">
        <f>Galeria!A13</f>
        <v>PV26 - PV27</v>
      </c>
      <c r="B12" s="26">
        <f>Galeria!B13</f>
        <v>45.734699999999997</v>
      </c>
      <c r="C12" s="24">
        <f>Galeria!I13</f>
        <v>0.10638244611220271</v>
      </c>
      <c r="D12" s="36">
        <f>Galeria!P13</f>
        <v>5.466308951408887E-3</v>
      </c>
      <c r="E12" s="25">
        <v>1.2999999999999999E-2</v>
      </c>
      <c r="F12" s="26">
        <f t="shared" si="15"/>
        <v>348.59330121748872</v>
      </c>
      <c r="G12" s="48">
        <f t="shared" si="1"/>
        <v>375</v>
      </c>
      <c r="H12" s="27">
        <v>3.9330168055578385</v>
      </c>
      <c r="I12" s="24">
        <f t="shared" si="16"/>
        <v>0.11070632853782131</v>
      </c>
      <c r="J12" s="24">
        <f t="shared" si="17"/>
        <v>8.1639346991410969E-2</v>
      </c>
      <c r="K12" s="24">
        <f t="shared" si="18"/>
        <v>0.10704956060285346</v>
      </c>
      <c r="L12" s="27">
        <f t="shared" si="19"/>
        <v>-6.6711449065075257E-4</v>
      </c>
      <c r="M12" s="24">
        <f t="shared" si="20"/>
        <v>0.34602086914232083</v>
      </c>
      <c r="N12" s="26">
        <f t="shared" si="21"/>
        <v>69.273266744030209</v>
      </c>
      <c r="O12" s="24">
        <f t="shared" si="22"/>
        <v>0.25977475029011327</v>
      </c>
      <c r="P12" s="24">
        <f t="shared" si="23"/>
        <v>1.3030781116291252</v>
      </c>
      <c r="Q12" s="24">
        <f t="shared" si="24"/>
        <v>6.252763148114358</v>
      </c>
      <c r="R12" s="24">
        <f t="shared" si="25"/>
        <v>5.936570497652915</v>
      </c>
      <c r="S12" s="24">
        <f t="shared" si="26"/>
        <v>0.21279207546883594</v>
      </c>
      <c r="T12" s="24">
        <f t="shared" si="27"/>
        <v>0.81627684668040679</v>
      </c>
      <c r="U12">
        <v>375</v>
      </c>
      <c r="V12" t="str">
        <f t="shared" si="11"/>
        <v>ok</v>
      </c>
    </row>
    <row r="13" spans="1:24" x14ac:dyDescent="0.3">
      <c r="A13" s="22" t="str">
        <f>Galeria!A14</f>
        <v>PV27 - PV5</v>
      </c>
      <c r="B13" s="26">
        <f>Galeria!B14</f>
        <v>2.5985999999999998</v>
      </c>
      <c r="C13" s="24">
        <f>Galeria!I14</f>
        <v>0.10481104870912526</v>
      </c>
      <c r="D13" s="36">
        <f>Galeria!P14</f>
        <v>9.6205649195720777E-2</v>
      </c>
      <c r="E13" s="25">
        <v>1.2999999999999999E-2</v>
      </c>
      <c r="F13" s="26">
        <f t="shared" si="15"/>
        <v>202.47107908247048</v>
      </c>
      <c r="G13" s="48">
        <f t="shared" si="1"/>
        <v>250</v>
      </c>
      <c r="H13" s="27">
        <v>3.3124136027409046</v>
      </c>
      <c r="I13" s="24">
        <f t="shared" si="16"/>
        <v>6.5707468694472859E-2</v>
      </c>
      <c r="J13" s="24">
        <f t="shared" si="17"/>
        <v>2.7206289138155502E-2</v>
      </c>
      <c r="K13" s="24">
        <f t="shared" si="18"/>
        <v>0.10569864066572171</v>
      </c>
      <c r="L13" s="27">
        <f t="shared" si="19"/>
        <v>-8.8759195659644796E-4</v>
      </c>
      <c r="M13" s="24">
        <f t="shared" si="20"/>
        <v>0.24908868555560459</v>
      </c>
      <c r="N13" s="26">
        <f t="shared" si="21"/>
        <v>54.265333413374073</v>
      </c>
      <c r="O13" s="24">
        <f t="shared" si="22"/>
        <v>0.13566333353343518</v>
      </c>
      <c r="P13" s="24">
        <f t="shared" si="23"/>
        <v>3.852456620485329</v>
      </c>
      <c r="Q13" s="24">
        <f t="shared" si="24"/>
        <v>4.8171827497137825</v>
      </c>
      <c r="R13" s="24">
        <f t="shared" si="25"/>
        <v>62.013225187868358</v>
      </c>
      <c r="S13" s="24">
        <f t="shared" si="26"/>
        <v>0.26230850641794334</v>
      </c>
      <c r="T13" s="24">
        <f t="shared" si="27"/>
        <v>3.3394274388346967</v>
      </c>
      <c r="U13">
        <v>250</v>
      </c>
      <c r="V13" t="str">
        <f t="shared" si="11"/>
        <v>ok</v>
      </c>
    </row>
    <row r="14" spans="1:24" x14ac:dyDescent="0.3">
      <c r="A14" s="22" t="str">
        <f>Galeria!A15</f>
        <v>PV5 - PV6</v>
      </c>
      <c r="B14" s="26">
        <f>Galeria!B15</f>
        <v>33.258899999999997</v>
      </c>
      <c r="C14" s="24">
        <f>Galeria!I15</f>
        <v>0.19351783504479547</v>
      </c>
      <c r="D14" s="36">
        <f>Galeria!P15</f>
        <v>7.5167849808622659E-3</v>
      </c>
      <c r="E14" s="25">
        <v>1.2999999999999999E-2</v>
      </c>
      <c r="F14" s="26">
        <f t="shared" si="15"/>
        <v>410.98389636883462</v>
      </c>
      <c r="G14" s="48">
        <f t="shared" si="1"/>
        <v>450</v>
      </c>
      <c r="H14" s="27">
        <v>3.8185502562220126</v>
      </c>
      <c r="I14" s="24">
        <f t="shared" si="16"/>
        <v>0.13095536759045365</v>
      </c>
      <c r="J14" s="24">
        <f t="shared" si="17"/>
        <v>0.1125134218048893</v>
      </c>
      <c r="K14" s="24">
        <f t="shared" si="18"/>
        <v>0.19350517327011926</v>
      </c>
      <c r="L14" s="27">
        <f t="shared" si="19"/>
        <v>1.2661774676209214E-5</v>
      </c>
      <c r="M14" s="24">
        <f t="shared" si="20"/>
        <v>0.42446739360149888</v>
      </c>
      <c r="N14" s="26">
        <f t="shared" si="21"/>
        <v>66.602629484270793</v>
      </c>
      <c r="O14" s="24">
        <f t="shared" si="22"/>
        <v>0.29971183267921858</v>
      </c>
      <c r="P14" s="24">
        <f t="shared" si="23"/>
        <v>1.7199533348152611</v>
      </c>
      <c r="Q14" s="24">
        <f t="shared" si="24"/>
        <v>6.8006027393345523</v>
      </c>
      <c r="R14" s="24">
        <f t="shared" si="25"/>
        <v>9.6566043680214193</v>
      </c>
      <c r="S14" s="24">
        <f t="shared" si="26"/>
        <v>0.27671207157647959</v>
      </c>
      <c r="T14" s="24">
        <f t="shared" si="27"/>
        <v>1.0030676301708845</v>
      </c>
      <c r="U14">
        <v>450</v>
      </c>
      <c r="V14" t="str">
        <f t="shared" si="11"/>
        <v>ok</v>
      </c>
    </row>
    <row r="15" spans="1:24" x14ac:dyDescent="0.3">
      <c r="A15" s="22" t="str">
        <f>Galeria!A16</f>
        <v>PV6 - PV7</v>
      </c>
      <c r="B15" s="26">
        <f>Galeria!B16</f>
        <v>5.6288999999999998</v>
      </c>
      <c r="C15" s="24">
        <f>Galeria!I16</f>
        <v>0.20805426080891309</v>
      </c>
      <c r="D15" s="36">
        <f>Galeria!P16</f>
        <v>4.4413650979765143E-2</v>
      </c>
      <c r="E15" s="25">
        <v>1.2999999999999999E-2</v>
      </c>
      <c r="F15" s="26">
        <f t="shared" si="15"/>
        <v>302.66858507414304</v>
      </c>
      <c r="G15" s="48">
        <f t="shared" si="1"/>
        <v>375</v>
      </c>
      <c r="H15" s="27">
        <v>3.2890673741343504</v>
      </c>
      <c r="I15" s="24">
        <f t="shared" si="16"/>
        <v>9.7938328292574858E-2</v>
      </c>
      <c r="J15" s="24">
        <f t="shared" si="17"/>
        <v>6.0398580049568835E-2</v>
      </c>
      <c r="K15" s="24">
        <f t="shared" si="18"/>
        <v>0.20803835218871658</v>
      </c>
      <c r="L15" s="27">
        <f t="shared" si="19"/>
        <v>1.5908620196514178E-5</v>
      </c>
      <c r="M15" s="24">
        <f t="shared" si="20"/>
        <v>0.373980987158887</v>
      </c>
      <c r="N15" s="26">
        <f t="shared" si="21"/>
        <v>53.683527883041585</v>
      </c>
      <c r="O15" s="24">
        <f t="shared" si="22"/>
        <v>0.20131322956140593</v>
      </c>
      <c r="P15" s="24">
        <f t="shared" si="23"/>
        <v>3.4446879485935584</v>
      </c>
      <c r="Q15" s="24">
        <f t="shared" si="24"/>
        <v>5.8811478488306799</v>
      </c>
      <c r="R15" s="24">
        <f t="shared" si="25"/>
        <v>42.671525544518438</v>
      </c>
      <c r="S15" s="24">
        <f t="shared" si="26"/>
        <v>0.31598154963780961</v>
      </c>
      <c r="T15" s="24">
        <f t="shared" si="27"/>
        <v>2.4512026864843808</v>
      </c>
      <c r="U15">
        <v>375</v>
      </c>
      <c r="V15" t="str">
        <f t="shared" si="11"/>
        <v>ok</v>
      </c>
    </row>
    <row r="16" spans="1:24" x14ac:dyDescent="0.3">
      <c r="A16" s="22" t="str">
        <f>Galeria!A17</f>
        <v>PV7 - PV8</v>
      </c>
      <c r="B16" s="26">
        <f>Galeria!B17</f>
        <v>49.167400000000001</v>
      </c>
      <c r="C16" s="24">
        <f>Galeria!I17</f>
        <v>0.21729121166720733</v>
      </c>
      <c r="D16" s="36">
        <f>Galeria!P17</f>
        <v>2.2372547663695893E-2</v>
      </c>
      <c r="E16" s="25">
        <v>1.2999999999999999E-2</v>
      </c>
      <c r="F16" s="26">
        <f t="shared" si="15"/>
        <v>349.84818127980986</v>
      </c>
      <c r="G16" s="48">
        <f t="shared" si="1"/>
        <v>375</v>
      </c>
      <c r="H16" s="27">
        <v>3.940350538104846</v>
      </c>
      <c r="I16" s="24">
        <f t="shared" si="16"/>
        <v>0.11079694815413177</v>
      </c>
      <c r="J16" s="24">
        <f t="shared" si="17"/>
        <v>8.1858527677407728E-2</v>
      </c>
      <c r="K16" s="24">
        <f t="shared" si="18"/>
        <v>0.21726853192617712</v>
      </c>
      <c r="L16" s="27">
        <f t="shared" si="19"/>
        <v>2.267974103020709E-5</v>
      </c>
      <c r="M16" s="24">
        <f t="shared" si="20"/>
        <v>0.34548850036178436</v>
      </c>
      <c r="N16" s="26">
        <f t="shared" si="21"/>
        <v>69.442311759100321</v>
      </c>
      <c r="O16" s="24">
        <f t="shared" si="22"/>
        <v>0.26040866909662619</v>
      </c>
      <c r="P16" s="24">
        <f t="shared" si="23"/>
        <v>2.654472512913006</v>
      </c>
      <c r="Q16" s="24">
        <f t="shared" si="24"/>
        <v>6.2553217511262496</v>
      </c>
      <c r="R16" s="24">
        <f t="shared" si="25"/>
        <v>24.317126135025187</v>
      </c>
      <c r="S16" s="24">
        <f t="shared" si="26"/>
        <v>0.34291201931327614</v>
      </c>
      <c r="T16" s="24">
        <f t="shared" si="27"/>
        <v>1.6607949282203867</v>
      </c>
      <c r="U16">
        <v>375</v>
      </c>
      <c r="V16" t="str">
        <f t="shared" si="11"/>
        <v>ok</v>
      </c>
    </row>
    <row r="17" spans="1:22" x14ac:dyDescent="0.3">
      <c r="A17" s="22" t="str">
        <f>Galeria!A18</f>
        <v>PV8 - PV9</v>
      </c>
      <c r="B17" s="26">
        <f>Galeria!B18</f>
        <v>32.25</v>
      </c>
      <c r="C17" s="24">
        <f>Galeria!I18</f>
        <v>0.23104583160748218</v>
      </c>
      <c r="D17" s="36">
        <f>Galeria!P18</f>
        <v>4.6511627906976301E-3</v>
      </c>
      <c r="E17" s="25">
        <v>1.2999999999999999E-2</v>
      </c>
      <c r="F17" s="26">
        <f t="shared" si="15"/>
        <v>480.59524339188289</v>
      </c>
      <c r="G17" s="48">
        <f t="shared" si="1"/>
        <v>500</v>
      </c>
      <c r="H17" s="27">
        <v>4.1411215319266068</v>
      </c>
      <c r="I17" s="24">
        <f t="shared" si="16"/>
        <v>0.15039216540815867</v>
      </c>
      <c r="J17" s="24">
        <f t="shared" si="17"/>
        <v>0.15569805860119842</v>
      </c>
      <c r="K17" s="24">
        <f t="shared" si="18"/>
        <v>0.23099580350077456</v>
      </c>
      <c r="L17" s="27">
        <f t="shared" si="19"/>
        <v>5.0028106707622477E-5</v>
      </c>
      <c r="M17" s="24">
        <f t="shared" si="20"/>
        <v>0.43884773570992058</v>
      </c>
      <c r="N17" s="26">
        <f t="shared" si="21"/>
        <v>73.960940061332252</v>
      </c>
      <c r="O17" s="24">
        <f t="shared" si="22"/>
        <v>0.36980470030666124</v>
      </c>
      <c r="P17" s="24">
        <f t="shared" si="23"/>
        <v>1.4839352120586029</v>
      </c>
      <c r="Q17" s="24">
        <f t="shared" si="24"/>
        <v>7.2878321286611225</v>
      </c>
      <c r="R17" s="24">
        <f t="shared" si="25"/>
        <v>6.8620797332745234</v>
      </c>
      <c r="S17" s="24">
        <f t="shared" si="26"/>
        <v>0.30457892395991848</v>
      </c>
      <c r="T17" s="24">
        <f t="shared" si="27"/>
        <v>0.77910182766193947</v>
      </c>
      <c r="U17">
        <v>500</v>
      </c>
      <c r="V17" t="str">
        <f t="shared" si="11"/>
        <v>ok</v>
      </c>
    </row>
    <row r="18" spans="1:22" x14ac:dyDescent="0.3">
      <c r="A18" s="22" t="str">
        <f>Galeria!A19</f>
        <v>PV9 - PV10</v>
      </c>
      <c r="B18" s="26">
        <f>Galeria!B19</f>
        <v>32.25</v>
      </c>
      <c r="C18" s="24">
        <f>Galeria!I19</f>
        <v>0.24961607267742714</v>
      </c>
      <c r="D18" s="36">
        <f>Galeria!P19</f>
        <v>7.7519379844961239E-3</v>
      </c>
      <c r="E18" s="25">
        <v>1.2999999999999999E-2</v>
      </c>
      <c r="F18" s="26">
        <f t="shared" si="15"/>
        <v>449.54506112358621</v>
      </c>
      <c r="G18" s="48">
        <f t="shared" si="1"/>
        <v>450</v>
      </c>
      <c r="H18" s="27">
        <v>4.4908254881918888</v>
      </c>
      <c r="I18" s="24">
        <f t="shared" si="16"/>
        <v>0.13693870155486187</v>
      </c>
      <c r="J18" s="24">
        <f t="shared" si="17"/>
        <v>0.13836775753405711</v>
      </c>
      <c r="K18" s="24">
        <f t="shared" si="18"/>
        <v>0.24897027490885154</v>
      </c>
      <c r="L18" s="27">
        <f t="shared" si="19"/>
        <v>6.4579776857559557E-4</v>
      </c>
      <c r="M18" s="24">
        <f t="shared" si="20"/>
        <v>0.35142596707093254</v>
      </c>
      <c r="N18" s="26">
        <f t="shared" si="21"/>
        <v>81.229890254164488</v>
      </c>
      <c r="O18" s="24">
        <f t="shared" si="22"/>
        <v>0.36553450614374017</v>
      </c>
      <c r="P18" s="24">
        <f t="shared" si="23"/>
        <v>1.8040046115222179</v>
      </c>
      <c r="Q18" s="24">
        <f t="shared" si="24"/>
        <v>6.9542269046325353</v>
      </c>
      <c r="R18" s="24">
        <f t="shared" si="25"/>
        <v>10.413710560102286</v>
      </c>
      <c r="S18" s="24">
        <f t="shared" si="26"/>
        <v>0.37187997728928779</v>
      </c>
      <c r="T18" s="24">
        <f t="shared" si="27"/>
        <v>0.95266223523590576</v>
      </c>
      <c r="U18">
        <v>450</v>
      </c>
      <c r="V18" t="str">
        <f t="shared" si="11"/>
        <v>ok</v>
      </c>
    </row>
    <row r="19" spans="1:22" x14ac:dyDescent="0.3">
      <c r="A19" s="22" t="str">
        <f>Galeria!A20</f>
        <v>PV10 - PV11</v>
      </c>
      <c r="B19" s="26">
        <f>Galeria!B20</f>
        <v>32.25</v>
      </c>
      <c r="C19" s="24">
        <f>Galeria!I20</f>
        <v>0.26827941208763767</v>
      </c>
      <c r="D19" s="36">
        <f>Galeria!P20</f>
        <v>7.7519379844961239E-3</v>
      </c>
      <c r="E19" s="25">
        <v>1.2999999999999999E-2</v>
      </c>
      <c r="F19" s="26">
        <f t="shared" si="15"/>
        <v>461.86630587201864</v>
      </c>
      <c r="G19" s="48">
        <f t="shared" si="1"/>
        <v>500</v>
      </c>
      <c r="H19" s="27">
        <v>3.8818705994327924</v>
      </c>
      <c r="I19" s="24">
        <f t="shared" si="16"/>
        <v>0.146719333584447</v>
      </c>
      <c r="J19" s="24">
        <f t="shared" si="17"/>
        <v>0.14238636685245928</v>
      </c>
      <c r="K19" s="24">
        <f t="shared" si="18"/>
        <v>0.26825949231346086</v>
      </c>
      <c r="L19" s="27">
        <f t="shared" si="19"/>
        <v>1.9919774176813121E-5</v>
      </c>
      <c r="M19" s="24">
        <f t="shared" si="20"/>
        <v>0.4661385409249586</v>
      </c>
      <c r="N19" s="26">
        <f t="shared" si="21"/>
        <v>68.087249836376643</v>
      </c>
      <c r="O19" s="24">
        <f t="shared" si="22"/>
        <v>0.3404362491818832</v>
      </c>
      <c r="P19" s="24">
        <f t="shared" si="23"/>
        <v>1.8841650223832787</v>
      </c>
      <c r="Q19" s="24">
        <f t="shared" si="24"/>
        <v>7.198291453441108</v>
      </c>
      <c r="R19" s="24">
        <f t="shared" si="25"/>
        <v>11.157493507468411</v>
      </c>
      <c r="S19" s="24">
        <f t="shared" si="26"/>
        <v>0.32321528200418398</v>
      </c>
      <c r="T19" s="24">
        <f t="shared" si="27"/>
        <v>1.0310186829103556</v>
      </c>
      <c r="U19">
        <v>500</v>
      </c>
      <c r="V19" t="str">
        <f t="shared" si="11"/>
        <v>ok</v>
      </c>
    </row>
    <row r="20" spans="1:22" x14ac:dyDescent="0.3">
      <c r="A20" s="22" t="str">
        <f>Galeria!A21</f>
        <v>PV11 - PV12</v>
      </c>
      <c r="B20" s="26">
        <f>Galeria!B21</f>
        <v>32.25</v>
      </c>
      <c r="C20" s="24">
        <f>Galeria!I21</f>
        <v>0.28676225103366887</v>
      </c>
      <c r="D20" s="36">
        <f>Galeria!P21</f>
        <v>7.7519379844961239E-3</v>
      </c>
      <c r="E20" s="25">
        <v>1.2999999999999999E-2</v>
      </c>
      <c r="F20" s="26">
        <f t="shared" si="15"/>
        <v>473.55101171029497</v>
      </c>
      <c r="G20" s="48">
        <f t="shared" si="1"/>
        <v>500</v>
      </c>
      <c r="H20" s="27">
        <v>4.0365370767858266</v>
      </c>
      <c r="I20" s="24">
        <f t="shared" si="16"/>
        <v>0.14915976556104169</v>
      </c>
      <c r="J20" s="24">
        <f t="shared" si="17"/>
        <v>0.15052223101295661</v>
      </c>
      <c r="K20" s="24">
        <f t="shared" si="18"/>
        <v>0.2867236834977322</v>
      </c>
      <c r="L20" s="27">
        <f t="shared" si="19"/>
        <v>3.8567535936673281E-5</v>
      </c>
      <c r="M20" s="24">
        <f t="shared" si="20"/>
        <v>0.45077186260793073</v>
      </c>
      <c r="N20" s="26">
        <f t="shared" si="21"/>
        <v>71.634400357064848</v>
      </c>
      <c r="O20" s="24">
        <f t="shared" si="22"/>
        <v>0.35817200178532427</v>
      </c>
      <c r="P20" s="24">
        <f t="shared" si="23"/>
        <v>1.9051156038803665</v>
      </c>
      <c r="Q20" s="24">
        <f t="shared" si="24"/>
        <v>7.2579103608089213</v>
      </c>
      <c r="R20" s="24">
        <f t="shared" si="25"/>
        <v>11.343079846153636</v>
      </c>
      <c r="S20" s="24">
        <f t="shared" si="26"/>
        <v>0.34553108075173516</v>
      </c>
      <c r="T20" s="24">
        <f t="shared" si="27"/>
        <v>1.0163446686496409</v>
      </c>
      <c r="U20">
        <v>500</v>
      </c>
      <c r="V20" t="str">
        <f t="shared" si="11"/>
        <v>ok</v>
      </c>
    </row>
    <row r="21" spans="1:22" x14ac:dyDescent="0.3">
      <c r="A21" s="22" t="str">
        <f>Galeria!A22</f>
        <v>PV12 - PV13</v>
      </c>
      <c r="B21" s="26">
        <f>Galeria!B22</f>
        <v>32.25</v>
      </c>
      <c r="C21" s="24">
        <f>Galeria!I22</f>
        <v>0.30501531543141469</v>
      </c>
      <c r="D21" s="36">
        <f>Galeria!P22</f>
        <v>1.5503875968992248E-2</v>
      </c>
      <c r="E21" s="25">
        <v>1.2999999999999999E-2</v>
      </c>
      <c r="F21" s="26">
        <f t="shared" si="15"/>
        <v>425.57246344881418</v>
      </c>
      <c r="G21" s="48">
        <f t="shared" si="1"/>
        <v>450</v>
      </c>
      <c r="H21" s="27">
        <v>4.0267947589511337</v>
      </c>
      <c r="I21" s="24">
        <f t="shared" si="16"/>
        <v>0.13412509849569607</v>
      </c>
      <c r="J21" s="24">
        <f t="shared" si="17"/>
        <v>0.12152120482491154</v>
      </c>
      <c r="K21" s="24">
        <f t="shared" si="18"/>
        <v>0.3049782675185263</v>
      </c>
      <c r="L21" s="27">
        <f t="shared" si="19"/>
        <v>3.7047912888388268E-5</v>
      </c>
      <c r="M21" s="24">
        <f t="shared" si="20"/>
        <v>0.40663832082574919</v>
      </c>
      <c r="N21" s="26">
        <f t="shared" si="21"/>
        <v>71.414566415541046</v>
      </c>
      <c r="O21" s="24">
        <f t="shared" si="22"/>
        <v>0.32136554886993474</v>
      </c>
      <c r="P21" s="24">
        <f t="shared" si="23"/>
        <v>2.5099760644315743</v>
      </c>
      <c r="Q21" s="24">
        <f t="shared" si="24"/>
        <v>6.882413805107916</v>
      </c>
      <c r="R21" s="24">
        <f t="shared" si="25"/>
        <v>20.39949172469424</v>
      </c>
      <c r="S21" s="24">
        <f t="shared" si="26"/>
        <v>0.38564339110783069</v>
      </c>
      <c r="T21" s="24">
        <f t="shared" si="27"/>
        <v>1.413628907462859</v>
      </c>
      <c r="U21">
        <v>450</v>
      </c>
      <c r="V21" t="str">
        <f t="shared" si="11"/>
        <v>ok</v>
      </c>
    </row>
    <row r="22" spans="1:22" x14ac:dyDescent="0.3">
      <c r="A22" s="22" t="str">
        <f>Galeria!A23</f>
        <v>PV13 - PV14</v>
      </c>
      <c r="B22" s="26">
        <f>Galeria!B23</f>
        <v>32.25</v>
      </c>
      <c r="C22" s="24">
        <f>Galeria!I23</f>
        <v>0.32354817250356849</v>
      </c>
      <c r="D22" s="36">
        <f>Galeria!P23</f>
        <v>7.7519379844961239E-3</v>
      </c>
      <c r="E22" s="25">
        <v>1.2999999999999999E-2</v>
      </c>
      <c r="F22" s="26">
        <f t="shared" si="15"/>
        <v>495.47658160341729</v>
      </c>
      <c r="G22" s="48">
        <f t="shared" si="1"/>
        <v>500</v>
      </c>
      <c r="H22" s="27">
        <v>4.4089344147675797</v>
      </c>
      <c r="I22" s="24">
        <f t="shared" si="16"/>
        <v>0.15205613780271396</v>
      </c>
      <c r="J22" s="24">
        <f t="shared" si="17"/>
        <v>0.1676013847337568</v>
      </c>
      <c r="K22" s="24">
        <f t="shared" si="18"/>
        <v>0.32337668043374657</v>
      </c>
      <c r="L22" s="27">
        <f t="shared" si="19"/>
        <v>1.7149206982192133E-4</v>
      </c>
      <c r="M22" s="24">
        <f t="shared" si="20"/>
        <v>0.40292969444345766</v>
      </c>
      <c r="N22" s="26">
        <f t="shared" si="21"/>
        <v>79.605347715522925</v>
      </c>
      <c r="O22" s="24">
        <f t="shared" si="22"/>
        <v>0.39802673857761461</v>
      </c>
      <c r="P22" s="24">
        <f t="shared" si="23"/>
        <v>1.9304624064863245</v>
      </c>
      <c r="Q22" s="24">
        <f t="shared" si="24"/>
        <v>7.3280383204788491</v>
      </c>
      <c r="R22" s="24">
        <f t="shared" si="25"/>
        <v>11.563338851508712</v>
      </c>
      <c r="S22" s="24">
        <f t="shared" si="26"/>
        <v>0.40356805523039674</v>
      </c>
      <c r="T22" s="24">
        <f t="shared" si="27"/>
        <v>0.97694636419475089</v>
      </c>
      <c r="U22">
        <v>500</v>
      </c>
      <c r="V22" t="str">
        <f t="shared" si="11"/>
        <v>ok</v>
      </c>
    </row>
    <row r="23" spans="1:22" x14ac:dyDescent="0.3">
      <c r="A23" s="22" t="str">
        <f>Galeria!A24</f>
        <v>PV14 - PV15</v>
      </c>
      <c r="B23" s="26">
        <f>Galeria!B24</f>
        <v>32.25</v>
      </c>
      <c r="C23" s="24">
        <f>Galeria!I24</f>
        <v>0.3413710424762374</v>
      </c>
      <c r="D23" s="36">
        <f>Galeria!P24</f>
        <v>7.7519379844961239E-3</v>
      </c>
      <c r="E23" s="25">
        <v>1.2999999999999999E-2</v>
      </c>
      <c r="F23" s="26">
        <f t="shared" si="15"/>
        <v>505.5405893086625</v>
      </c>
      <c r="G23" s="48">
        <f t="shared" si="1"/>
        <v>600</v>
      </c>
      <c r="H23" s="27">
        <v>3.4507125852720955</v>
      </c>
      <c r="I23" s="24">
        <f t="shared" si="16"/>
        <v>0.16322424248444925</v>
      </c>
      <c r="J23" s="24">
        <f t="shared" si="17"/>
        <v>0.168971984328778</v>
      </c>
      <c r="K23" s="24">
        <f t="shared" si="18"/>
        <v>0.34179544545573554</v>
      </c>
      <c r="L23" s="27">
        <f t="shared" si="19"/>
        <v>-4.2440297949813965E-4</v>
      </c>
      <c r="M23" s="24">
        <f t="shared" si="20"/>
        <v>0.59284762058089024</v>
      </c>
      <c r="N23" s="26">
        <f t="shared" si="21"/>
        <v>57.697266276799141</v>
      </c>
      <c r="O23" s="24">
        <f t="shared" si="22"/>
        <v>0.34618359766079487</v>
      </c>
      <c r="P23" s="24">
        <f t="shared" si="23"/>
        <v>2.0202819055022352</v>
      </c>
      <c r="Q23" s="24">
        <f t="shared" si="24"/>
        <v>7.5923825954576412</v>
      </c>
      <c r="R23" s="24">
        <f t="shared" si="25"/>
        <v>12.412634254049976</v>
      </c>
      <c r="S23" s="24">
        <f t="shared" si="26"/>
        <v>0.32332011830288987</v>
      </c>
      <c r="T23" s="24">
        <f t="shared" si="27"/>
        <v>1.0962869060449199</v>
      </c>
      <c r="U23">
        <v>600</v>
      </c>
      <c r="V23" t="str">
        <f t="shared" si="11"/>
        <v>ok</v>
      </c>
    </row>
    <row r="24" spans="1:22" x14ac:dyDescent="0.3">
      <c r="A24" s="22" t="str">
        <f>Galeria!A25</f>
        <v>PV15 - PV16</v>
      </c>
      <c r="B24" s="26">
        <f>Galeria!B25</f>
        <v>32.25</v>
      </c>
      <c r="C24" s="24">
        <f>Galeria!I25</f>
        <v>0.35906544050504768</v>
      </c>
      <c r="D24" s="36">
        <f>Galeria!P25</f>
        <v>7.7519379844961239E-3</v>
      </c>
      <c r="E24" s="25">
        <v>1.2999999999999999E-2</v>
      </c>
      <c r="F24" s="26">
        <f t="shared" si="15"/>
        <v>515.21218837460174</v>
      </c>
      <c r="G24" s="48">
        <f t="shared" si="1"/>
        <v>600</v>
      </c>
      <c r="H24" s="27">
        <v>3.5287099610972792</v>
      </c>
      <c r="I24" s="24">
        <f t="shared" si="16"/>
        <v>0.1660478169745726</v>
      </c>
      <c r="J24" s="24">
        <f t="shared" si="17"/>
        <v>0.17578037573298966</v>
      </c>
      <c r="K24" s="24">
        <f t="shared" si="18"/>
        <v>0.35965626335378681</v>
      </c>
      <c r="L24" s="27">
        <f t="shared" si="19"/>
        <v>-5.9082284873912538E-4</v>
      </c>
      <c r="M24" s="24">
        <f t="shared" si="20"/>
        <v>0.58879556104074249</v>
      </c>
      <c r="N24" s="26">
        <f t="shared" si="21"/>
        <v>59.617615240160063</v>
      </c>
      <c r="O24" s="24">
        <f t="shared" si="22"/>
        <v>0.35770569144096037</v>
      </c>
      <c r="P24" s="24">
        <f t="shared" si="23"/>
        <v>2.042693554429921</v>
      </c>
      <c r="Q24" s="24">
        <f t="shared" si="24"/>
        <v>7.6577703702017637</v>
      </c>
      <c r="R24" s="24">
        <f t="shared" si="25"/>
        <v>12.627357244345406</v>
      </c>
      <c r="S24" s="24">
        <f t="shared" si="26"/>
        <v>0.33593071739251573</v>
      </c>
      <c r="T24" s="24">
        <f t="shared" si="27"/>
        <v>1.0904500825455061</v>
      </c>
      <c r="U24">
        <v>600</v>
      </c>
      <c r="V24" t="str">
        <f t="shared" si="11"/>
        <v>ok</v>
      </c>
    </row>
    <row r="25" spans="1:22" x14ac:dyDescent="0.3">
      <c r="A25" s="22" t="str">
        <f>Galeria!A26</f>
        <v>PV16 - PV17</v>
      </c>
      <c r="B25" s="26">
        <f>Galeria!B26</f>
        <v>32.25</v>
      </c>
      <c r="C25" s="24">
        <f>Galeria!I26</f>
        <v>0.37656571366548347</v>
      </c>
      <c r="D25" s="36">
        <f>Galeria!P26</f>
        <v>7.7519379844961239E-3</v>
      </c>
      <c r="E25" s="25">
        <v>1.2999999999999999E-2</v>
      </c>
      <c r="F25" s="26">
        <f t="shared" si="15"/>
        <v>524.48891825448436</v>
      </c>
      <c r="G25" s="48">
        <f t="shared" si="1"/>
        <v>600</v>
      </c>
      <c r="H25" s="27">
        <v>3.6074163588488277</v>
      </c>
      <c r="I25" s="24">
        <f t="shared" si="16"/>
        <v>0.16867647854091933</v>
      </c>
      <c r="J25" s="24">
        <f t="shared" si="17"/>
        <v>0.18254588641245767</v>
      </c>
      <c r="K25" s="24">
        <f t="shared" si="18"/>
        <v>0.37743038530572015</v>
      </c>
      <c r="L25" s="27">
        <f t="shared" si="19"/>
        <v>-8.6467164023668053E-4</v>
      </c>
      <c r="M25" s="24">
        <f t="shared" si="20"/>
        <v>0.58379905871517579</v>
      </c>
      <c r="N25" s="26">
        <f t="shared" si="21"/>
        <v>61.540586304211885</v>
      </c>
      <c r="O25" s="24">
        <f t="shared" si="22"/>
        <v>0.36924351782527132</v>
      </c>
      <c r="P25" s="24">
        <f t="shared" si="23"/>
        <v>2.0628551049057497</v>
      </c>
      <c r="Q25" s="24">
        <f t="shared" si="24"/>
        <v>7.7181464848440822</v>
      </c>
      <c r="R25" s="24">
        <f t="shared" si="25"/>
        <v>12.827257786716423</v>
      </c>
      <c r="S25" s="24">
        <f t="shared" si="26"/>
        <v>0.34873477302434425</v>
      </c>
      <c r="T25" s="24">
        <f t="shared" si="27"/>
        <v>1.0838714593423555</v>
      </c>
      <c r="U25">
        <v>600</v>
      </c>
      <c r="V25" t="str">
        <f t="shared" si="11"/>
        <v>ok</v>
      </c>
    </row>
    <row r="26" spans="1:22" x14ac:dyDescent="0.3">
      <c r="A26" s="22" t="str">
        <f>Galeria!A27</f>
        <v>PV17 - PV18</v>
      </c>
      <c r="B26" s="26">
        <f>Galeria!B27</f>
        <v>32.25</v>
      </c>
      <c r="C26" s="24">
        <f>Galeria!I27</f>
        <v>0.38346806084366775</v>
      </c>
      <c r="D26" s="36">
        <f>Galeria!P27</f>
        <v>7.7519379844961239E-3</v>
      </c>
      <c r="E26" s="25">
        <v>1.2999999999999999E-2</v>
      </c>
      <c r="F26" s="26">
        <f t="shared" si="15"/>
        <v>528.07362263611901</v>
      </c>
      <c r="G26" s="48">
        <f t="shared" si="1"/>
        <v>600</v>
      </c>
      <c r="H26" s="27">
        <v>3.6387662069160549</v>
      </c>
      <c r="I26" s="24">
        <f t="shared" si="16"/>
        <v>0.16966091634319808</v>
      </c>
      <c r="J26" s="24">
        <f t="shared" si="17"/>
        <v>0.18520692270721228</v>
      </c>
      <c r="K26" s="24">
        <f t="shared" si="18"/>
        <v>0.38442080211708662</v>
      </c>
      <c r="L26" s="27">
        <f t="shared" si="19"/>
        <v>-9.5274127341887782E-4</v>
      </c>
      <c r="M26" s="24">
        <f t="shared" si="20"/>
        <v>0.58155665465234063</v>
      </c>
      <c r="N26" s="26">
        <f t="shared" si="21"/>
        <v>62.301721150349628</v>
      </c>
      <c r="O26" s="24">
        <f t="shared" si="22"/>
        <v>0.37381032690209781</v>
      </c>
      <c r="P26" s="24">
        <f t="shared" si="23"/>
        <v>2.0704844896639214</v>
      </c>
      <c r="Q26" s="24">
        <f t="shared" si="24"/>
        <v>7.7406362280993317</v>
      </c>
      <c r="R26" s="24">
        <f t="shared" si="25"/>
        <v>12.902120847494364</v>
      </c>
      <c r="S26" s="24">
        <f t="shared" si="26"/>
        <v>0.35389012373032952</v>
      </c>
      <c r="T26" s="24">
        <f t="shared" si="27"/>
        <v>1.0812144226830993</v>
      </c>
      <c r="U26">
        <v>600</v>
      </c>
      <c r="V26" t="str">
        <f t="shared" si="11"/>
        <v>ok</v>
      </c>
    </row>
    <row r="27" spans="1:22" x14ac:dyDescent="0.3">
      <c r="A27" s="22" t="str">
        <f>Galeria!A28</f>
        <v>PV18 - PV19</v>
      </c>
      <c r="B27" s="26">
        <f>Galeria!B28</f>
        <v>32.25</v>
      </c>
      <c r="C27" s="24">
        <f>Galeria!I28</f>
        <v>0.39029659551622875</v>
      </c>
      <c r="D27" s="36">
        <f>Galeria!P28</f>
        <v>7.7519379844961239E-3</v>
      </c>
      <c r="E27" s="25">
        <v>1.2999999999999999E-2</v>
      </c>
      <c r="F27" s="26">
        <f t="shared" si="15"/>
        <v>531.58052544763018</v>
      </c>
      <c r="G27" s="48">
        <f t="shared" si="1"/>
        <v>600</v>
      </c>
      <c r="H27" s="27">
        <v>3.6652932132647327</v>
      </c>
      <c r="I27" s="24">
        <f t="shared" si="16"/>
        <v>0.17046581743567318</v>
      </c>
      <c r="J27" s="24">
        <f t="shared" si="17"/>
        <v>0.18744216112217935</v>
      </c>
      <c r="K27" s="24">
        <f t="shared" si="18"/>
        <v>0.39028986972183455</v>
      </c>
      <c r="L27" s="27">
        <f t="shared" si="19"/>
        <v>6.7257943942022891E-6</v>
      </c>
      <c r="M27" s="24">
        <f t="shared" si="20"/>
        <v>0.5795475919256633</v>
      </c>
      <c r="N27" s="26">
        <f t="shared" si="21"/>
        <v>62.94341013507475</v>
      </c>
      <c r="O27" s="24">
        <f t="shared" si="22"/>
        <v>0.37766046081044852</v>
      </c>
      <c r="P27" s="24">
        <f t="shared" si="23"/>
        <v>2.082224154798471</v>
      </c>
      <c r="Q27" s="24">
        <f t="shared" si="24"/>
        <v>7.758975968875168</v>
      </c>
      <c r="R27" s="24">
        <f t="shared" si="25"/>
        <v>12.963330767782589</v>
      </c>
      <c r="S27" s="24">
        <f t="shared" si="26"/>
        <v>0.35890604168179652</v>
      </c>
      <c r="T27" s="24">
        <f t="shared" si="27"/>
        <v>1.0817881433095202</v>
      </c>
      <c r="U27">
        <v>600</v>
      </c>
      <c r="V27" t="str">
        <f t="shared" si="11"/>
        <v>ok</v>
      </c>
    </row>
    <row r="28" spans="1:22" x14ac:dyDescent="0.3">
      <c r="A28" s="22" t="str">
        <f>Galeria!A29</f>
        <v>PV19 - PV20</v>
      </c>
      <c r="B28" s="26">
        <f>Galeria!B29</f>
        <v>32.25</v>
      </c>
      <c r="C28" s="24">
        <f>Galeria!I29</f>
        <v>0.39705771264628109</v>
      </c>
      <c r="D28" s="36">
        <f>Galeria!P29</f>
        <v>7.7519379844961239E-3</v>
      </c>
      <c r="E28" s="25">
        <v>1.2999999999999999E-2</v>
      </c>
      <c r="F28" s="26">
        <f t="shared" si="15"/>
        <v>535.01522332410912</v>
      </c>
      <c r="G28" s="48">
        <f t="shared" si="1"/>
        <v>600</v>
      </c>
      <c r="H28" s="27">
        <v>3.6961056138050976</v>
      </c>
      <c r="I28" s="24">
        <f t="shared" si="16"/>
        <v>0.17136827342384783</v>
      </c>
      <c r="J28" s="24">
        <f t="shared" si="17"/>
        <v>0.19001857122899121</v>
      </c>
      <c r="K28" s="24">
        <f t="shared" si="18"/>
        <v>0.39704962321103776</v>
      </c>
      <c r="L28" s="27">
        <f t="shared" si="19"/>
        <v>8.0894352433302785E-6</v>
      </c>
      <c r="M28" s="24">
        <f t="shared" si="20"/>
        <v>0.57708600461780579</v>
      </c>
      <c r="N28" s="26">
        <f t="shared" si="21"/>
        <v>63.685896855445812</v>
      </c>
      <c r="O28" s="24">
        <f t="shared" si="22"/>
        <v>0.3821153811326749</v>
      </c>
      <c r="P28" s="24">
        <f t="shared" si="23"/>
        <v>2.0895731931790351</v>
      </c>
      <c r="Q28" s="24">
        <f t="shared" si="24"/>
        <v>7.779487093784919</v>
      </c>
      <c r="R28" s="24">
        <f t="shared" si="25"/>
        <v>13.031959397580987</v>
      </c>
      <c r="S28" s="24">
        <f t="shared" si="26"/>
        <v>0.36407069859114949</v>
      </c>
      <c r="T28" s="24">
        <f t="shared" si="27"/>
        <v>1.0792593621633304</v>
      </c>
      <c r="U28">
        <v>600</v>
      </c>
      <c r="V28" t="str">
        <f t="shared" si="11"/>
        <v>ok</v>
      </c>
    </row>
    <row r="29" spans="1:22" x14ac:dyDescent="0.3">
      <c r="A29" s="22" t="str">
        <f>Galeria!A30</f>
        <v>PV20 - PV21</v>
      </c>
      <c r="B29" s="26">
        <f>Galeria!B30</f>
        <v>32.25</v>
      </c>
      <c r="C29" s="24">
        <f>Galeria!I30</f>
        <v>0.40374817852700928</v>
      </c>
      <c r="D29" s="36">
        <f>Galeria!P30</f>
        <v>7.7519379844961239E-3</v>
      </c>
      <c r="E29" s="25">
        <v>1.2999999999999999E-2</v>
      </c>
      <c r="F29" s="26">
        <f t="shared" si="15"/>
        <v>538.37823206069174</v>
      </c>
      <c r="G29" s="48">
        <f t="shared" si="1"/>
        <v>600</v>
      </c>
      <c r="H29" s="27">
        <v>3.7268983162624347</v>
      </c>
      <c r="I29" s="24">
        <f t="shared" si="16"/>
        <v>0.1722351461314664</v>
      </c>
      <c r="J29" s="24">
        <f t="shared" si="17"/>
        <v>0.19257086283557295</v>
      </c>
      <c r="K29" s="24">
        <f t="shared" si="18"/>
        <v>0.40373855168575856</v>
      </c>
      <c r="L29" s="27">
        <f t="shared" si="19"/>
        <v>9.6268412507205525E-6</v>
      </c>
      <c r="M29" s="24">
        <f t="shared" si="20"/>
        <v>0.57448915293215397</v>
      </c>
      <c r="N29" s="26">
        <f t="shared" si="21"/>
        <v>64.424663765409335</v>
      </c>
      <c r="O29" s="24">
        <f t="shared" si="22"/>
        <v>0.38654798259245604</v>
      </c>
      <c r="P29" s="24">
        <f t="shared" si="23"/>
        <v>2.0966213298413194</v>
      </c>
      <c r="Q29" s="24">
        <f t="shared" si="24"/>
        <v>7.799138683713009</v>
      </c>
      <c r="R29" s="24">
        <f t="shared" si="25"/>
        <v>13.097882043020816</v>
      </c>
      <c r="S29" s="24">
        <f t="shared" si="26"/>
        <v>0.36925764268739597</v>
      </c>
      <c r="T29" s="24">
        <f t="shared" si="27"/>
        <v>1.076672921350365</v>
      </c>
      <c r="U29">
        <v>600</v>
      </c>
      <c r="V29" t="str">
        <f t="shared" si="11"/>
        <v>ok</v>
      </c>
    </row>
    <row r="30" spans="1:22" x14ac:dyDescent="0.3">
      <c r="A30" s="22" t="str">
        <f>Galeria!A31</f>
        <v>PV21 - PV22</v>
      </c>
      <c r="B30" s="26">
        <f>Galeria!B31</f>
        <v>32.25</v>
      </c>
      <c r="C30" s="24">
        <f>Galeria!I31</f>
        <v>0.41036926729924966</v>
      </c>
      <c r="D30" s="36">
        <f>Galeria!P31</f>
        <v>7.7519379844961239E-3</v>
      </c>
      <c r="E30" s="25">
        <v>1.2999999999999999E-2</v>
      </c>
      <c r="F30" s="26">
        <f t="shared" si="15"/>
        <v>541.6722495513435</v>
      </c>
      <c r="G30" s="48">
        <f t="shared" si="1"/>
        <v>600</v>
      </c>
      <c r="H30" s="27">
        <v>3.75769985495692</v>
      </c>
      <c r="I30" s="24">
        <f t="shared" si="16"/>
        <v>0.17306713641738228</v>
      </c>
      <c r="J30" s="24">
        <f t="shared" si="17"/>
        <v>0.19510030602402209</v>
      </c>
      <c r="K30" s="24">
        <f t="shared" si="18"/>
        <v>0.4103579155019374</v>
      </c>
      <c r="L30" s="27">
        <f t="shared" si="19"/>
        <v>1.1351797312264544E-5</v>
      </c>
      <c r="M30" s="24">
        <f t="shared" si="20"/>
        <v>0.57175531889345799</v>
      </c>
      <c r="N30" s="26">
        <f t="shared" si="21"/>
        <v>65.16022191758934</v>
      </c>
      <c r="O30" s="24">
        <f t="shared" si="22"/>
        <v>0.39096133150553608</v>
      </c>
      <c r="P30" s="24">
        <f t="shared" si="23"/>
        <v>2.103375825810966</v>
      </c>
      <c r="Q30" s="24">
        <f t="shared" si="24"/>
        <v>7.8179530503299093</v>
      </c>
      <c r="R30" s="24">
        <f t="shared" si="25"/>
        <v>13.161152001973024</v>
      </c>
      <c r="S30" s="24">
        <f t="shared" si="26"/>
        <v>0.37447262451693558</v>
      </c>
      <c r="T30" s="24">
        <f t="shared" si="27"/>
        <v>1.0740276745417128</v>
      </c>
      <c r="U30">
        <v>600</v>
      </c>
      <c r="V30" t="str">
        <f t="shared" si="11"/>
        <v>ok</v>
      </c>
    </row>
    <row r="31" spans="1:22" x14ac:dyDescent="0.3">
      <c r="A31" s="22" t="str">
        <f>Galeria!A32</f>
        <v>PV22 - PV23</v>
      </c>
      <c r="B31" s="26">
        <f>Galeria!B32</f>
        <v>32.25</v>
      </c>
      <c r="C31" s="24">
        <f>Galeria!I32</f>
        <v>0.41205071317388792</v>
      </c>
      <c r="D31" s="36">
        <f>Galeria!P32</f>
        <v>1.0852713178294617E-2</v>
      </c>
      <c r="E31" s="25">
        <v>1.2999999999999999E-2</v>
      </c>
      <c r="F31" s="26">
        <f t="shared" si="15"/>
        <v>509.33499993516193</v>
      </c>
      <c r="G31" s="48">
        <f t="shared" si="1"/>
        <v>600</v>
      </c>
      <c r="H31" s="27">
        <v>3.4793194844911284</v>
      </c>
      <c r="I31" s="24">
        <f t="shared" si="16"/>
        <v>0.16428482752490384</v>
      </c>
      <c r="J31" s="24">
        <f t="shared" si="17"/>
        <v>0.17147982042409873</v>
      </c>
      <c r="K31" s="24">
        <f t="shared" si="18"/>
        <v>0.41219602674029182</v>
      </c>
      <c r="L31" s="27">
        <f t="shared" si="19"/>
        <v>-1.4531356640390403E-4</v>
      </c>
      <c r="M31" s="24">
        <f t="shared" si="20"/>
        <v>0.59146585218657244</v>
      </c>
      <c r="N31" s="26">
        <f t="shared" si="21"/>
        <v>58.403101980655904</v>
      </c>
      <c r="O31" s="24">
        <f t="shared" si="22"/>
        <v>0.35041861188393542</v>
      </c>
      <c r="P31" s="24">
        <f t="shared" si="23"/>
        <v>2.4029108040515581</v>
      </c>
      <c r="Q31" s="24">
        <f t="shared" si="24"/>
        <v>7.6170092351719676</v>
      </c>
      <c r="R31" s="24">
        <f t="shared" si="25"/>
        <v>17.490603265325877</v>
      </c>
      <c r="S31" s="24">
        <f t="shared" si="26"/>
        <v>0.36710558658433845</v>
      </c>
      <c r="T31" s="24">
        <f t="shared" si="27"/>
        <v>1.2960136150415384</v>
      </c>
      <c r="U31">
        <v>600</v>
      </c>
      <c r="V31" t="str">
        <f t="shared" si="11"/>
        <v>ok</v>
      </c>
    </row>
    <row r="32" spans="1:22" x14ac:dyDescent="0.3">
      <c r="A32" s="22" t="str">
        <f>Galeria!A33</f>
        <v>PV28 - PV29</v>
      </c>
      <c r="B32" s="26">
        <f>Galeria!B33</f>
        <v>31.408100000000001</v>
      </c>
      <c r="C32" s="24">
        <f>Galeria!I33</f>
        <v>1.7052378368375483E-2</v>
      </c>
      <c r="D32" s="36">
        <f>Galeria!P33</f>
        <v>4.7758380799856909E-3</v>
      </c>
      <c r="E32" s="25">
        <v>1.2999999999999999E-2</v>
      </c>
      <c r="F32" s="26">
        <f t="shared" si="15"/>
        <v>179.9525547304074</v>
      </c>
      <c r="G32" s="48">
        <f t="shared" si="1"/>
        <v>200</v>
      </c>
      <c r="H32" s="27">
        <v>3.7124946270495931</v>
      </c>
      <c r="I32" s="24">
        <f t="shared" si="16"/>
        <v>5.7278006512367377E-2</v>
      </c>
      <c r="J32" s="24">
        <f t="shared" si="17"/>
        <v>2.1264429142527554E-2</v>
      </c>
      <c r="K32" s="24">
        <f t="shared" si="18"/>
        <v>1.6796821333144748E-2</v>
      </c>
      <c r="L32" s="27">
        <f t="shared" si="19"/>
        <v>2.55557035230735E-4</v>
      </c>
      <c r="M32" s="24">
        <f t="shared" si="20"/>
        <v>0.19190695135796554</v>
      </c>
      <c r="N32" s="26">
        <f t="shared" si="21"/>
        <v>64.079510867949764</v>
      </c>
      <c r="O32" s="24">
        <f t="shared" si="22"/>
        <v>0.12815902173589952</v>
      </c>
      <c r="P32" s="24">
        <f t="shared" si="23"/>
        <v>0.80192034566645254</v>
      </c>
      <c r="Q32" s="24">
        <f t="shared" si="24"/>
        <v>4.4975883293057919</v>
      </c>
      <c r="R32" s="24">
        <f t="shared" si="25"/>
        <v>2.6835302543913131</v>
      </c>
      <c r="S32" s="24">
        <f t="shared" si="26"/>
        <v>9.3019321423100779E-2</v>
      </c>
      <c r="T32" s="24">
        <f t="shared" si="27"/>
        <v>0.71519115809942202</v>
      </c>
      <c r="U32">
        <v>200</v>
      </c>
      <c r="V32" t="str">
        <f t="shared" si="11"/>
        <v>ok</v>
      </c>
    </row>
    <row r="33" spans="1:22" x14ac:dyDescent="0.3">
      <c r="A33" s="22" t="str">
        <f>Galeria!A34</f>
        <v>PV29 - PV30</v>
      </c>
      <c r="B33" s="26">
        <f>Galeria!B34</f>
        <v>31.408100000000001</v>
      </c>
      <c r="C33" s="24">
        <f>Galeria!I34</f>
        <v>3.7672759883859715E-2</v>
      </c>
      <c r="D33" s="36">
        <f>Galeria!P34</f>
        <v>7.9597301333095595E-3</v>
      </c>
      <c r="E33" s="25">
        <v>1.2999999999999999E-2</v>
      </c>
      <c r="F33" s="26">
        <f t="shared" si="15"/>
        <v>220.11635114120014</v>
      </c>
      <c r="G33" s="48">
        <f t="shared" si="1"/>
        <v>250</v>
      </c>
      <c r="H33" s="27">
        <v>3.675882868709059</v>
      </c>
      <c r="I33" s="24">
        <f t="shared" si="16"/>
        <v>7.1158299304787231E-2</v>
      </c>
      <c r="J33" s="24">
        <f t="shared" si="17"/>
        <v>3.2696196672617389E-2</v>
      </c>
      <c r="K33" s="24">
        <f t="shared" si="18"/>
        <v>3.8531870895106825E-2</v>
      </c>
      <c r="L33" s="27">
        <f t="shared" si="19"/>
        <v>-8.5911101124711009E-4</v>
      </c>
      <c r="M33" s="24">
        <f t="shared" si="20"/>
        <v>0.24113211433299439</v>
      </c>
      <c r="N33" s="26">
        <f t="shared" si="21"/>
        <v>63.198944559774048</v>
      </c>
      <c r="O33" s="24">
        <f t="shared" si="22"/>
        <v>0.15799736139943513</v>
      </c>
      <c r="P33" s="24">
        <f t="shared" si="23"/>
        <v>1.1522061804641066</v>
      </c>
      <c r="Q33" s="24">
        <f t="shared" si="24"/>
        <v>5.0130095733479969</v>
      </c>
      <c r="R33" s="24">
        <f t="shared" si="25"/>
        <v>5.5563924288635942</v>
      </c>
      <c r="S33" s="24">
        <f t="shared" si="26"/>
        <v>0.1355060189942853</v>
      </c>
      <c r="T33" s="24">
        <f t="shared" si="27"/>
        <v>0.92548797374774727</v>
      </c>
      <c r="U33">
        <v>250</v>
      </c>
      <c r="V33" t="str">
        <f t="shared" si="11"/>
        <v>ok</v>
      </c>
    </row>
    <row r="34" spans="1:22" x14ac:dyDescent="0.3">
      <c r="A34" s="22" t="str">
        <f>Galeria!A35</f>
        <v>PV30 - PV31</v>
      </c>
      <c r="B34" s="26">
        <f>Galeria!B35</f>
        <v>37.821199999999997</v>
      </c>
      <c r="C34" s="24">
        <f>Galeria!I35</f>
        <v>6.0620529778310318E-2</v>
      </c>
      <c r="D34" s="36">
        <f>Galeria!P35</f>
        <v>6.6100493902890448E-3</v>
      </c>
      <c r="E34" s="25">
        <v>1.2999999999999999E-2</v>
      </c>
      <c r="F34" s="26">
        <f t="shared" si="15"/>
        <v>272.4297118116408</v>
      </c>
      <c r="G34" s="48">
        <f t="shared" si="1"/>
        <v>300</v>
      </c>
      <c r="H34" s="27">
        <v>3.794911918365262</v>
      </c>
      <c r="I34" s="24">
        <f t="shared" si="16"/>
        <v>8.7012640076638198E-2</v>
      </c>
      <c r="J34" s="24">
        <f t="shared" si="17"/>
        <v>4.9530795731289171E-2</v>
      </c>
      <c r="K34" s="24">
        <f t="shared" si="18"/>
        <v>6.0825992266017204E-2</v>
      </c>
      <c r="L34" s="27">
        <f t="shared" si="19"/>
        <v>-2.054624877068853E-4</v>
      </c>
      <c r="M34" s="24">
        <f t="shared" si="20"/>
        <v>0.2841358459082246</v>
      </c>
      <c r="N34" s="26">
        <f t="shared" si="21"/>
        <v>66.044054861205723</v>
      </c>
      <c r="O34" s="24">
        <f t="shared" si="22"/>
        <v>0.19813216458361718</v>
      </c>
      <c r="P34" s="24">
        <f t="shared" si="23"/>
        <v>1.2238957376575244</v>
      </c>
      <c r="Q34" s="24">
        <f t="shared" si="24"/>
        <v>5.5434090566604901</v>
      </c>
      <c r="R34" s="24">
        <f t="shared" si="25"/>
        <v>5.6422984936478802</v>
      </c>
      <c r="S34" s="24">
        <f t="shared" si="26"/>
        <v>0.16679107124158857</v>
      </c>
      <c r="T34" s="24">
        <f t="shared" si="27"/>
        <v>0.87787448473846852</v>
      </c>
      <c r="U34">
        <v>300</v>
      </c>
      <c r="V34" t="str">
        <f t="shared" si="11"/>
        <v>ok</v>
      </c>
    </row>
    <row r="35" spans="1:22" x14ac:dyDescent="0.3">
      <c r="A35" s="22" t="str">
        <f>Galeria!A36</f>
        <v>PV31 - PV32</v>
      </c>
      <c r="B35" s="26">
        <f>Galeria!B36</f>
        <v>37.821199999999997</v>
      </c>
      <c r="C35" s="24">
        <f>Galeria!I36</f>
        <v>7.9192301144476576E-2</v>
      </c>
      <c r="D35" s="36">
        <f>Galeria!P36</f>
        <v>6.6100493902890448E-3</v>
      </c>
      <c r="E35" s="25">
        <v>1.2999999999999999E-2</v>
      </c>
      <c r="F35" s="26">
        <f t="shared" si="15"/>
        <v>301.14675250953519</v>
      </c>
      <c r="G35" s="48">
        <f t="shared" si="1"/>
        <v>375</v>
      </c>
      <c r="H35" s="27">
        <v>3.2743432149753469</v>
      </c>
      <c r="I35" s="24">
        <f t="shared" si="16"/>
        <v>9.7539719952060594E-2</v>
      </c>
      <c r="J35" s="24">
        <f t="shared" si="17"/>
        <v>5.9883472540429701E-2</v>
      </c>
      <c r="K35" s="24">
        <f t="shared" si="18"/>
        <v>7.9357317543781808E-2</v>
      </c>
      <c r="L35" s="27">
        <f t="shared" si="19"/>
        <v>-1.6501639930523171E-4</v>
      </c>
      <c r="M35" s="24">
        <f t="shared" si="20"/>
        <v>0.37417423863285715</v>
      </c>
      <c r="N35" s="26">
        <f t="shared" si="21"/>
        <v>53.316327670505927</v>
      </c>
      <c r="O35" s="24">
        <f t="shared" si="22"/>
        <v>0.19993622876439721</v>
      </c>
      <c r="P35" s="24">
        <f t="shared" si="23"/>
        <v>1.3224400286908999</v>
      </c>
      <c r="Q35" s="24">
        <f t="shared" si="24"/>
        <v>5.8691675302609756</v>
      </c>
      <c r="R35" s="24">
        <f t="shared" si="25"/>
        <v>6.3249226143651871</v>
      </c>
      <c r="S35" s="24">
        <f t="shared" si="26"/>
        <v>0.16590127241246555</v>
      </c>
      <c r="T35" s="24">
        <f t="shared" si="27"/>
        <v>0.9442690052302033</v>
      </c>
      <c r="U35">
        <v>375</v>
      </c>
      <c r="V35" t="str">
        <f t="shared" si="11"/>
        <v>ok</v>
      </c>
    </row>
    <row r="36" spans="1:22" x14ac:dyDescent="0.3">
      <c r="A36" s="22" t="str">
        <f>Galeria!A37</f>
        <v>PV32 - PV33</v>
      </c>
      <c r="B36" s="26">
        <f>Galeria!B37</f>
        <v>37.821199999999997</v>
      </c>
      <c r="C36" s="24">
        <f>Galeria!I37</f>
        <v>9.743550339406111E-2</v>
      </c>
      <c r="D36" s="36">
        <f>Galeria!P37</f>
        <v>2.6440197561156554E-3</v>
      </c>
      <c r="E36" s="25">
        <v>1.2999999999999999E-2</v>
      </c>
      <c r="F36" s="26">
        <f t="shared" si="15"/>
        <v>386.50470699063328</v>
      </c>
      <c r="G36" s="48">
        <f t="shared" si="1"/>
        <v>400</v>
      </c>
      <c r="H36" s="27">
        <v>4.1962719296482645</v>
      </c>
      <c r="I36" s="24">
        <f t="shared" si="16"/>
        <v>0.12072654031010242</v>
      </c>
      <c r="J36" s="24">
        <f t="shared" si="17"/>
        <v>0.10132027845336651</v>
      </c>
      <c r="K36" s="24">
        <f t="shared" si="18"/>
        <v>9.7893503954067554E-2</v>
      </c>
      <c r="L36" s="27">
        <f t="shared" si="19"/>
        <v>-4.5800056000644407E-4</v>
      </c>
      <c r="M36" s="24">
        <f t="shared" si="20"/>
        <v>0.34565956693454808</v>
      </c>
      <c r="N36" s="26">
        <f t="shared" si="21"/>
        <v>75.161808791618071</v>
      </c>
      <c r="O36" s="24">
        <f t="shared" si="22"/>
        <v>0.30064723516647229</v>
      </c>
      <c r="P36" s="24">
        <f t="shared" si="23"/>
        <v>0.96165846443963932</v>
      </c>
      <c r="Q36" s="24">
        <f t="shared" si="24"/>
        <v>6.5296083325047736</v>
      </c>
      <c r="R36" s="24">
        <f t="shared" si="25"/>
        <v>3.1313849387172317</v>
      </c>
      <c r="S36" s="24">
        <f t="shared" si="26"/>
        <v>0.20082730735214926</v>
      </c>
      <c r="T36" s="24">
        <f t="shared" si="27"/>
        <v>0.55996095782714739</v>
      </c>
      <c r="U36">
        <v>400</v>
      </c>
      <c r="V36" t="str">
        <f t="shared" si="11"/>
        <v>ok</v>
      </c>
    </row>
    <row r="37" spans="1:22" x14ac:dyDescent="0.3">
      <c r="A37" s="22" t="str">
        <f>Galeria!A38</f>
        <v>PV33 - PV34</v>
      </c>
      <c r="B37" s="26">
        <f>Galeria!B38</f>
        <v>37.821199999999997</v>
      </c>
      <c r="C37" s="24">
        <f>Galeria!I38</f>
        <v>0.1148764770256351</v>
      </c>
      <c r="D37" s="36">
        <f>Galeria!P38</f>
        <v>2.6440197561156554E-3</v>
      </c>
      <c r="E37" s="25">
        <v>1.2999999999999999E-2</v>
      </c>
      <c r="F37" s="26">
        <f t="shared" si="15"/>
        <v>411.12367843987721</v>
      </c>
      <c r="G37" s="48">
        <f t="shared" si="1"/>
        <v>450</v>
      </c>
      <c r="H37" s="27">
        <v>3.8256280258608668</v>
      </c>
      <c r="I37" s="24">
        <f t="shared" si="16"/>
        <v>0.13108299860273215</v>
      </c>
      <c r="J37" s="24">
        <f t="shared" si="17"/>
        <v>0.11283182846291093</v>
      </c>
      <c r="K37" s="24">
        <f t="shared" si="18"/>
        <v>0.11516438694139759</v>
      </c>
      <c r="L37" s="27">
        <f t="shared" si="19"/>
        <v>-2.8790991576249647E-4</v>
      </c>
      <c r="M37" s="24">
        <f t="shared" si="20"/>
        <v>0.42393594361464149</v>
      </c>
      <c r="N37" s="26">
        <f t="shared" si="21"/>
        <v>66.769429752285376</v>
      </c>
      <c r="O37" s="24">
        <f t="shared" si="22"/>
        <v>0.30046243388528421</v>
      </c>
      <c r="P37" s="24">
        <f t="shared" si="23"/>
        <v>1.0181212038356382</v>
      </c>
      <c r="Q37" s="24">
        <f t="shared" si="24"/>
        <v>6.8039159155989637</v>
      </c>
      <c r="R37" s="24">
        <f t="shared" si="25"/>
        <v>3.4000090327457109</v>
      </c>
      <c r="S37" s="24">
        <f t="shared" si="26"/>
        <v>0.19561293820933479</v>
      </c>
      <c r="T37" s="24">
        <f t="shared" si="27"/>
        <v>0.59302074789381398</v>
      </c>
      <c r="U37">
        <v>450</v>
      </c>
      <c r="V37" t="str">
        <f t="shared" si="11"/>
        <v>ok</v>
      </c>
    </row>
    <row r="38" spans="1:22" x14ac:dyDescent="0.3">
      <c r="A38" s="22" t="str">
        <f>Galeria!A39</f>
        <v>PV34 - PV35</v>
      </c>
      <c r="B38" s="26">
        <f>Galeria!B39</f>
        <v>44.785299999999999</v>
      </c>
      <c r="C38" s="24">
        <f>Galeria!I39</f>
        <v>0.10923417812341694</v>
      </c>
      <c r="D38" s="36">
        <f>Galeria!P39</f>
        <v>1.1164377597112703E-3</v>
      </c>
      <c r="E38" s="25">
        <v>1.2999999999999999E-2</v>
      </c>
      <c r="F38" s="26">
        <f t="shared" si="15"/>
        <v>474.21571064849491</v>
      </c>
      <c r="G38" s="48">
        <f t="shared" si="1"/>
        <v>500</v>
      </c>
      <c r="H38" s="27">
        <v>4.0555865108838614</v>
      </c>
      <c r="I38" s="24">
        <f t="shared" si="16"/>
        <v>0.14940918987145052</v>
      </c>
      <c r="J38" s="24">
        <f t="shared" si="17"/>
        <v>0.1514854737611851</v>
      </c>
      <c r="K38" s="24">
        <f t="shared" si="18"/>
        <v>0.10963008969326302</v>
      </c>
      <c r="L38" s="27">
        <f t="shared" si="19"/>
        <v>-3.959115698460719E-4</v>
      </c>
      <c r="M38" s="24">
        <f t="shared" si="20"/>
        <v>0.44869083143507005</v>
      </c>
      <c r="N38" s="26">
        <f t="shared" si="21"/>
        <v>72.062759978322205</v>
      </c>
      <c r="O38" s="24">
        <f t="shared" si="22"/>
        <v>0.36031379989161105</v>
      </c>
      <c r="P38" s="24">
        <f t="shared" si="23"/>
        <v>0.72108681717973322</v>
      </c>
      <c r="Q38" s="24">
        <f t="shared" si="24"/>
        <v>7.2639761491211878</v>
      </c>
      <c r="R38" s="24">
        <f t="shared" si="25"/>
        <v>1.6363674605717125</v>
      </c>
      <c r="S38" s="24">
        <f t="shared" si="26"/>
        <v>0.18213129029045172</v>
      </c>
      <c r="T38" s="24">
        <f t="shared" si="27"/>
        <v>0.38354171366154211</v>
      </c>
      <c r="U38">
        <v>500</v>
      </c>
      <c r="V38" t="str">
        <f t="shared" si="11"/>
        <v>ok</v>
      </c>
    </row>
    <row r="39" spans="1:22" x14ac:dyDescent="0.3">
      <c r="A39" s="22" t="str">
        <f>Galeria!A40</f>
        <v>PV35 - PV36</v>
      </c>
      <c r="B39" s="26">
        <f>Galeria!B40</f>
        <v>44.785299999999999</v>
      </c>
      <c r="C39" s="24">
        <f>Galeria!I40</f>
        <v>0.12515290257861225</v>
      </c>
      <c r="D39" s="36">
        <f>Galeria!P40</f>
        <v>5.5821887985566697E-3</v>
      </c>
      <c r="E39" s="25">
        <v>1.2999999999999999E-2</v>
      </c>
      <c r="F39" s="26">
        <f t="shared" si="15"/>
        <v>369.04128599430476</v>
      </c>
      <c r="G39" s="48">
        <f t="shared" si="1"/>
        <v>375</v>
      </c>
      <c r="H39" s="27">
        <v>4.3562129900629518</v>
      </c>
      <c r="I39" s="24">
        <f t="shared" si="16"/>
        <v>0.11392026629090282</v>
      </c>
      <c r="J39" s="24">
        <f t="shared" si="17"/>
        <v>9.304892697147403E-2</v>
      </c>
      <c r="K39" s="24">
        <f t="shared" si="18"/>
        <v>0.12567173331067807</v>
      </c>
      <c r="L39" s="27">
        <f t="shared" si="19"/>
        <v>-5.1883073206582253E-4</v>
      </c>
      <c r="M39" s="24">
        <f t="shared" si="20"/>
        <v>0.30794473797110683</v>
      </c>
      <c r="N39" s="26">
        <f t="shared" si="21"/>
        <v>78.53303375416138</v>
      </c>
      <c r="O39" s="24">
        <f t="shared" si="22"/>
        <v>0.2944988765781052</v>
      </c>
      <c r="P39" s="24">
        <f t="shared" si="23"/>
        <v>1.3450225236555422</v>
      </c>
      <c r="Q39" s="24">
        <f t="shared" si="24"/>
        <v>6.3428764171545424</v>
      </c>
      <c r="R39" s="24">
        <f t="shared" si="25"/>
        <v>6.2384187016373494</v>
      </c>
      <c r="S39" s="24">
        <f t="shared" si="26"/>
        <v>0.25630421998556019</v>
      </c>
      <c r="T39" s="24">
        <f t="shared" si="27"/>
        <v>0.79132198577735025</v>
      </c>
      <c r="U39">
        <v>375</v>
      </c>
      <c r="V39" t="str">
        <f t="shared" si="11"/>
        <v>ok</v>
      </c>
    </row>
    <row r="40" spans="1:22" x14ac:dyDescent="0.3">
      <c r="A40" s="22" t="str">
        <f>Galeria!A41</f>
        <v>PV36 - PV37</v>
      </c>
      <c r="B40" s="26">
        <f>Galeria!B41</f>
        <v>44.82405</v>
      </c>
      <c r="C40" s="24">
        <f>Galeria!I41</f>
        <v>0.13966724450089696</v>
      </c>
      <c r="D40" s="36">
        <f>Galeria!P41</f>
        <v>5.577363045061747E-3</v>
      </c>
      <c r="E40" s="25">
        <v>1.2999999999999999E-2</v>
      </c>
      <c r="F40" s="26">
        <f t="shared" si="15"/>
        <v>384.60550454492505</v>
      </c>
      <c r="G40" s="48">
        <f t="shared" si="1"/>
        <v>400</v>
      </c>
      <c r="H40" s="27">
        <v>4.1546885354188117</v>
      </c>
      <c r="I40" s="24">
        <f t="shared" si="16"/>
        <v>0.12042209312388499</v>
      </c>
      <c r="J40" s="24">
        <f t="shared" si="17"/>
        <v>0.10006325794258832</v>
      </c>
      <c r="K40" s="24">
        <f t="shared" si="18"/>
        <v>0.14017907560249487</v>
      </c>
      <c r="L40" s="27">
        <f t="shared" si="19"/>
        <v>-5.1183110159791489E-4</v>
      </c>
      <c r="M40" s="24">
        <f t="shared" si="20"/>
        <v>0.34976980835274646</v>
      </c>
      <c r="N40" s="26">
        <f t="shared" si="21"/>
        <v>74.258078926438046</v>
      </c>
      <c r="O40" s="24">
        <f t="shared" si="22"/>
        <v>0.29703231570575217</v>
      </c>
      <c r="P40" s="24">
        <f t="shared" si="23"/>
        <v>1.3957894972901201</v>
      </c>
      <c r="Q40" s="24">
        <f t="shared" si="24"/>
        <v>6.5213699793548923</v>
      </c>
      <c r="R40" s="24">
        <f t="shared" si="25"/>
        <v>6.5887661509017583</v>
      </c>
      <c r="S40" s="24">
        <f t="shared" si="26"/>
        <v>0.25330970444105572</v>
      </c>
      <c r="T40" s="24">
        <f t="shared" si="27"/>
        <v>0.81768037019680651</v>
      </c>
      <c r="U40">
        <v>400</v>
      </c>
      <c r="V40" t="str">
        <f t="shared" si="11"/>
        <v>ok</v>
      </c>
    </row>
    <row r="41" spans="1:22" x14ac:dyDescent="0.3">
      <c r="A41" s="22" t="str">
        <f>Galeria!A42</f>
        <v>PV37 - PV38</v>
      </c>
      <c r="B41" s="26">
        <f>Galeria!B42</f>
        <v>44.82405</v>
      </c>
      <c r="C41" s="24">
        <f>Galeria!I42</f>
        <v>0.15594818588404188</v>
      </c>
      <c r="D41" s="36">
        <f>Galeria!P42</f>
        <v>7.8083082630864779E-3</v>
      </c>
      <c r="E41" s="25">
        <v>1.2999999999999999E-2</v>
      </c>
      <c r="F41" s="26">
        <f t="shared" si="15"/>
        <v>376.33416739363338</v>
      </c>
      <c r="G41" s="48">
        <f t="shared" si="1"/>
        <v>400</v>
      </c>
      <c r="H41" s="27">
        <v>3.993009508998135</v>
      </c>
      <c r="I41" s="24">
        <f t="shared" si="16"/>
        <v>0.11883829101163441</v>
      </c>
      <c r="J41" s="24">
        <f t="shared" si="17"/>
        <v>9.4904485208508776E-2</v>
      </c>
      <c r="K41" s="24">
        <f t="shared" si="18"/>
        <v>0.15592872429943885</v>
      </c>
      <c r="L41" s="27">
        <f t="shared" si="19"/>
        <v>1.9461584603031046E-5</v>
      </c>
      <c r="M41" s="24">
        <f t="shared" si="20"/>
        <v>0.36429856196090588</v>
      </c>
      <c r="N41" s="26">
        <f t="shared" si="21"/>
        <v>70.648304165088248</v>
      </c>
      <c r="O41" s="24">
        <f t="shared" si="22"/>
        <v>0.28259321666035297</v>
      </c>
      <c r="P41" s="24">
        <f t="shared" si="23"/>
        <v>1.64321196771067</v>
      </c>
      <c r="Q41" s="24">
        <f t="shared" si="24"/>
        <v>6.4783432182672147</v>
      </c>
      <c r="R41" s="24">
        <f t="shared" si="25"/>
        <v>9.1029541549335331</v>
      </c>
      <c r="S41" s="24">
        <f t="shared" si="26"/>
        <v>0.26533359683178948</v>
      </c>
      <c r="T41" s="24">
        <f t="shared" si="27"/>
        <v>0.9869115216580101</v>
      </c>
      <c r="U41">
        <v>400</v>
      </c>
      <c r="V41" t="str">
        <f t="shared" si="11"/>
        <v>ok</v>
      </c>
    </row>
    <row r="42" spans="1:22" x14ac:dyDescent="0.3">
      <c r="A42" s="22" t="str">
        <f>Galeria!A43</f>
        <v>PV38 - PV39</v>
      </c>
      <c r="B42" s="26">
        <f>Galeria!B43</f>
        <v>45.830199999999998</v>
      </c>
      <c r="C42" s="24">
        <f>Galeria!I43</f>
        <v>0.171818326424546</v>
      </c>
      <c r="D42" s="36">
        <f>Galeria!P43</f>
        <v>6.5459020471217669E-2</v>
      </c>
      <c r="E42" s="25">
        <v>1.2999999999999999E-2</v>
      </c>
      <c r="F42" s="26">
        <f t="shared" si="15"/>
        <v>261.94929281119738</v>
      </c>
      <c r="G42" s="48">
        <f t="shared" si="1"/>
        <v>300</v>
      </c>
      <c r="H42" s="27">
        <v>3.5979380472496914</v>
      </c>
      <c r="I42" s="24">
        <f t="shared" si="16"/>
        <v>8.4185895322847898E-2</v>
      </c>
      <c r="J42" s="24">
        <f t="shared" si="17"/>
        <v>4.5434345373578142E-2</v>
      </c>
      <c r="K42" s="24">
        <f t="shared" si="18"/>
        <v>0.17175862860849678</v>
      </c>
      <c r="L42" s="27">
        <f t="shared" si="19"/>
        <v>5.9697816049225638E-5</v>
      </c>
      <c r="M42" s="24">
        <f t="shared" si="20"/>
        <v>0.29222440598143595</v>
      </c>
      <c r="N42" s="26">
        <f t="shared" si="21"/>
        <v>61.30989801112883</v>
      </c>
      <c r="O42" s="24">
        <f t="shared" si="22"/>
        <v>0.18392969403338649</v>
      </c>
      <c r="P42" s="24">
        <f t="shared" si="23"/>
        <v>3.7816837683429045</v>
      </c>
      <c r="Q42" s="24">
        <f t="shared" si="24"/>
        <v>5.4526223775553149</v>
      </c>
      <c r="R42" s="24">
        <f t="shared" si="25"/>
        <v>54.060224466648926</v>
      </c>
      <c r="S42" s="24">
        <f t="shared" si="26"/>
        <v>0.32785287585849698</v>
      </c>
      <c r="T42" s="24">
        <f t="shared" si="27"/>
        <v>2.8153006565066079</v>
      </c>
      <c r="U42">
        <v>300</v>
      </c>
      <c r="V42" t="str">
        <f t="shared" si="11"/>
        <v>ok</v>
      </c>
    </row>
    <row r="43" spans="1:22" x14ac:dyDescent="0.3">
      <c r="A43" s="22" t="str">
        <f>Galeria!A44</f>
        <v>PV39 - PV40</v>
      </c>
      <c r="B43" s="26">
        <f>Galeria!B44</f>
        <v>45.830199999999998</v>
      </c>
      <c r="C43" s="24">
        <f>Galeria!I44</f>
        <v>0.18699321866490518</v>
      </c>
      <c r="D43" s="36">
        <f>Galeria!P44</f>
        <v>9.818853070682651E-2</v>
      </c>
      <c r="E43" s="25">
        <v>1.2999999999999999E-2</v>
      </c>
      <c r="F43" s="26">
        <f t="shared" si="15"/>
        <v>250.60155352918616</v>
      </c>
      <c r="G43" s="48">
        <f t="shared" si="1"/>
        <v>300</v>
      </c>
      <c r="H43" s="27">
        <v>3.4157625127418343</v>
      </c>
      <c r="I43" s="24">
        <f t="shared" si="16"/>
        <v>8.094481965598084E-2</v>
      </c>
      <c r="J43" s="24">
        <f t="shared" si="17"/>
        <v>4.1473242087232166E-2</v>
      </c>
      <c r="K43" s="24">
        <f t="shared" si="18"/>
        <v>0.18706005383379104</v>
      </c>
      <c r="L43" s="27">
        <f t="shared" si="19"/>
        <v>-6.6835168885864826E-5</v>
      </c>
      <c r="M43" s="24">
        <f t="shared" si="20"/>
        <v>0.29718556991956152</v>
      </c>
      <c r="N43" s="26">
        <f t="shared" si="21"/>
        <v>56.832798823780841</v>
      </c>
      <c r="O43" s="24">
        <f t="shared" si="22"/>
        <v>0.17049839647134252</v>
      </c>
      <c r="P43" s="24">
        <f t="shared" si="23"/>
        <v>4.5087678043495032</v>
      </c>
      <c r="Q43" s="24">
        <f t="shared" si="24"/>
        <v>5.3466318846266381</v>
      </c>
      <c r="R43" s="24">
        <f t="shared" si="25"/>
        <v>77.96843705053162</v>
      </c>
      <c r="S43" s="24">
        <f t="shared" si="26"/>
        <v>0.34301182343145681</v>
      </c>
      <c r="T43" s="24">
        <f t="shared" si="27"/>
        <v>3.4862876478854794</v>
      </c>
      <c r="U43">
        <v>300</v>
      </c>
      <c r="V43" t="str">
        <f t="shared" si="11"/>
        <v>ok</v>
      </c>
    </row>
    <row r="44" spans="1:22" x14ac:dyDescent="0.3">
      <c r="A44" s="22" t="str">
        <f>Galeria!A45</f>
        <v>PV42 - PV43</v>
      </c>
      <c r="B44" s="26">
        <f>Galeria!B45</f>
        <v>39.050199999999997</v>
      </c>
      <c r="C44" s="24">
        <f>Galeria!I45</f>
        <v>9.8989564876618474E-2</v>
      </c>
      <c r="D44" s="36">
        <f>Galeria!P45</f>
        <v>8.9628222134585753E-2</v>
      </c>
      <c r="E44" s="25">
        <v>1.2999999999999999E-2</v>
      </c>
      <c r="F44" s="26">
        <f t="shared" si="15"/>
        <v>200.82745719226125</v>
      </c>
      <c r="G44" s="48">
        <f t="shared" si="1"/>
        <v>250</v>
      </c>
      <c r="H44" s="27">
        <v>3.2719539884636744</v>
      </c>
      <c r="I44" s="24">
        <f t="shared" si="16"/>
        <v>6.498308083830287E-2</v>
      </c>
      <c r="J44" s="24">
        <f t="shared" si="17"/>
        <v>2.6577706316442809E-2</v>
      </c>
      <c r="K44" s="24">
        <f t="shared" si="18"/>
        <v>9.8930469088441053E-2</v>
      </c>
      <c r="L44" s="27">
        <f t="shared" si="19"/>
        <v>5.9095788177421227E-5</v>
      </c>
      <c r="M44" s="24">
        <f t="shared" si="20"/>
        <v>0.24946912306740487</v>
      </c>
      <c r="N44" s="26">
        <f t="shared" si="21"/>
        <v>53.256726184253125</v>
      </c>
      <c r="O44" s="24">
        <f t="shared" si="22"/>
        <v>0.13314181546063281</v>
      </c>
      <c r="P44" s="24">
        <f t="shared" si="23"/>
        <v>3.7245337764672595</v>
      </c>
      <c r="Q44" s="24">
        <f t="shared" si="24"/>
        <v>4.7905557954015148</v>
      </c>
      <c r="R44" s="24">
        <f t="shared" si="25"/>
        <v>57.136559622822155</v>
      </c>
      <c r="S44" s="24">
        <f t="shared" si="26"/>
        <v>0.25224665011432329</v>
      </c>
      <c r="T44" s="24">
        <f t="shared" si="27"/>
        <v>3.2589686005410283</v>
      </c>
      <c r="U44">
        <v>250</v>
      </c>
      <c r="V44" t="str">
        <f t="shared" si="11"/>
        <v>ok</v>
      </c>
    </row>
    <row r="45" spans="1:22" x14ac:dyDescent="0.3">
      <c r="A45" s="22" t="str">
        <f>Galeria!A46</f>
        <v>PV43 - PV44</v>
      </c>
      <c r="B45" s="26">
        <f>Galeria!B46</f>
        <v>39.050199999999997</v>
      </c>
      <c r="C45" s="24">
        <f>Galeria!I46</f>
        <v>0.11374400802617876</v>
      </c>
      <c r="D45" s="36">
        <f>Galeria!P46</f>
        <v>0.15364838080214699</v>
      </c>
      <c r="E45" s="25">
        <v>1.2999999999999999E-2</v>
      </c>
      <c r="F45" s="26">
        <f t="shared" si="15"/>
        <v>191.23159853353829</v>
      </c>
      <c r="G45" s="48">
        <f t="shared" si="1"/>
        <v>200</v>
      </c>
      <c r="H45" s="27">
        <v>4.1126118032744792</v>
      </c>
      <c r="I45" s="24">
        <f t="shared" si="16"/>
        <v>6.0035732147513267E-2</v>
      </c>
      <c r="J45" s="24">
        <f t="shared" si="17"/>
        <v>2.469036606480882E-2</v>
      </c>
      <c r="K45" s="24">
        <f t="shared" si="18"/>
        <v>0.11414442677041019</v>
      </c>
      <c r="L45" s="27">
        <f t="shared" si="19"/>
        <v>-4.0041874423142609E-4</v>
      </c>
      <c r="M45" s="24">
        <f t="shared" si="20"/>
        <v>0.17688745324146293</v>
      </c>
      <c r="N45" s="26">
        <f t="shared" si="21"/>
        <v>73.332955349876485</v>
      </c>
      <c r="O45" s="24">
        <f t="shared" si="22"/>
        <v>0.14666591069975296</v>
      </c>
      <c r="P45" s="24">
        <f t="shared" si="23"/>
        <v>4.6068174010711855</v>
      </c>
      <c r="Q45" s="24">
        <f t="shared" si="24"/>
        <v>4.6045867529253677</v>
      </c>
      <c r="R45" s="24">
        <f t="shared" si="25"/>
        <v>90.491295670768153</v>
      </c>
      <c r="S45" s="24">
        <f t="shared" si="26"/>
        <v>0.34801502669427792</v>
      </c>
      <c r="T45" s="24">
        <f t="shared" si="27"/>
        <v>3.8406249886237522</v>
      </c>
      <c r="U45">
        <v>200</v>
      </c>
      <c r="V45" t="str">
        <f t="shared" si="11"/>
        <v>ok</v>
      </c>
    </row>
    <row r="46" spans="1:22" x14ac:dyDescent="0.3">
      <c r="A46" s="22" t="str">
        <f>Galeria!A47</f>
        <v>PV44 - PV45</v>
      </c>
      <c r="B46" s="26">
        <f>Galeria!B47</f>
        <v>26.0167</v>
      </c>
      <c r="C46" s="24">
        <f>Galeria!I47</f>
        <v>0.12272300802832339</v>
      </c>
      <c r="D46" s="36">
        <f>Galeria!P47</f>
        <v>5.7655275265501996E-3</v>
      </c>
      <c r="E46" s="25">
        <v>1.2999999999999999E-2</v>
      </c>
      <c r="F46" s="26">
        <f t="shared" si="15"/>
        <v>364.12490159834363</v>
      </c>
      <c r="G46" s="48">
        <f t="shared" si="1"/>
        <v>375</v>
      </c>
      <c r="H46" s="27">
        <v>4.2323980847813116</v>
      </c>
      <c r="I46" s="24">
        <f t="shared" si="16"/>
        <v>0.11339752995513772</v>
      </c>
      <c r="J46" s="24">
        <f t="shared" si="17"/>
        <v>8.998940411269804E-2</v>
      </c>
      <c r="K46" s="24">
        <f t="shared" si="18"/>
        <v>0.12314117082896377</v>
      </c>
      <c r="L46" s="27">
        <f t="shared" si="19"/>
        <v>-4.1816280064037314E-4</v>
      </c>
      <c r="M46" s="24">
        <f t="shared" si="20"/>
        <v>0.32059441739767375</v>
      </c>
      <c r="N46" s="26">
        <f t="shared" si="21"/>
        <v>75.938121077654074</v>
      </c>
      <c r="O46" s="24">
        <f t="shared" si="22"/>
        <v>0.28476795404120275</v>
      </c>
      <c r="P46" s="24">
        <f t="shared" si="23"/>
        <v>1.363749535163401</v>
      </c>
      <c r="Q46" s="24">
        <f t="shared" si="24"/>
        <v>6.3283071732459728</v>
      </c>
      <c r="R46" s="24">
        <f t="shared" si="25"/>
        <v>6.4137444537156352</v>
      </c>
      <c r="S46" s="24">
        <f t="shared" si="26"/>
        <v>0.24627690562791427</v>
      </c>
      <c r="T46" s="24">
        <f t="shared" si="27"/>
        <v>0.81593310534176189</v>
      </c>
      <c r="U46">
        <v>375</v>
      </c>
      <c r="V46" t="str">
        <f t="shared" si="11"/>
        <v>ok</v>
      </c>
    </row>
    <row r="47" spans="1:22" x14ac:dyDescent="0.3">
      <c r="A47" s="22" t="str">
        <f>Galeria!A48</f>
        <v>PV45 - PV46</v>
      </c>
      <c r="B47" s="26">
        <f>Galeria!B48</f>
        <v>26.0167</v>
      </c>
      <c r="C47" s="24">
        <f>Galeria!I48</f>
        <v>0.18963928348754347</v>
      </c>
      <c r="D47" s="36">
        <f>Galeria!P48</f>
        <v>9.6092125442504232E-3</v>
      </c>
      <c r="E47" s="25">
        <v>1.2999999999999999E-2</v>
      </c>
      <c r="F47" s="26">
        <f t="shared" si="15"/>
        <v>389.51986186724309</v>
      </c>
      <c r="G47" s="48">
        <f t="shared" si="1"/>
        <v>400</v>
      </c>
      <c r="H47" s="27">
        <v>4.2598380580102235</v>
      </c>
      <c r="I47" s="24">
        <f t="shared" si="16"/>
        <v>0.12111194365373819</v>
      </c>
      <c r="J47" s="24">
        <f t="shared" si="17"/>
        <v>0.10318345337115675</v>
      </c>
      <c r="K47" s="24">
        <f t="shared" si="18"/>
        <v>0.19045918530261088</v>
      </c>
      <c r="L47" s="27">
        <f t="shared" si="19"/>
        <v>-8.1990181506741422E-4</v>
      </c>
      <c r="M47" s="24">
        <f t="shared" si="20"/>
        <v>0.33908831735420547</v>
      </c>
      <c r="N47" s="26">
        <f t="shared" si="21"/>
        <v>76.522134928293156</v>
      </c>
      <c r="O47" s="24">
        <f t="shared" si="22"/>
        <v>0.30608853971317262</v>
      </c>
      <c r="P47" s="24">
        <f t="shared" si="23"/>
        <v>1.837884634519841</v>
      </c>
      <c r="Q47" s="24">
        <f t="shared" si="24"/>
        <v>6.5400224786123013</v>
      </c>
      <c r="R47" s="24">
        <f t="shared" si="25"/>
        <v>11.416783904599464</v>
      </c>
      <c r="S47" s="24">
        <f t="shared" si="26"/>
        <v>0.31709348313324115</v>
      </c>
      <c r="T47" s="24">
        <f t="shared" si="27"/>
        <v>1.0606209675329672</v>
      </c>
      <c r="U47">
        <v>400</v>
      </c>
      <c r="V47" t="str">
        <f t="shared" si="11"/>
        <v>ok</v>
      </c>
    </row>
    <row r="48" spans="1:22" x14ac:dyDescent="0.3">
      <c r="A48" s="22" t="str">
        <f>Galeria!A49</f>
        <v>PV46 - PV47</v>
      </c>
      <c r="B48" s="26">
        <f>Galeria!B49</f>
        <v>28.320399999999999</v>
      </c>
      <c r="C48" s="24">
        <f>Galeria!I49</f>
        <v>0.20777991071643279</v>
      </c>
      <c r="D48" s="36">
        <f>Galeria!P49</f>
        <v>8.8275589327834348E-3</v>
      </c>
      <c r="E48" s="25">
        <v>1.2999999999999999E-2</v>
      </c>
      <c r="F48" s="26">
        <f t="shared" si="15"/>
        <v>409.5591860604124</v>
      </c>
      <c r="G48" s="48">
        <f t="shared" si="1"/>
        <v>450</v>
      </c>
      <c r="H48" s="27">
        <v>3.8025672187178134</v>
      </c>
      <c r="I48" s="24">
        <f t="shared" si="16"/>
        <v>0.13066200023016769</v>
      </c>
      <c r="J48" s="24">
        <f t="shared" si="17"/>
        <v>0.11179148373165039</v>
      </c>
      <c r="K48" s="24">
        <f t="shared" si="18"/>
        <v>0.20804241297611795</v>
      </c>
      <c r="L48" s="27">
        <f t="shared" si="19"/>
        <v>-2.6250225968516006E-4</v>
      </c>
      <c r="M48" s="24">
        <f t="shared" si="20"/>
        <v>0.42564794881532958</v>
      </c>
      <c r="N48" s="26">
        <f t="shared" si="21"/>
        <v>66.225198992217898</v>
      </c>
      <c r="O48" s="24">
        <f t="shared" si="22"/>
        <v>0.29801339546498051</v>
      </c>
      <c r="P48" s="24">
        <f t="shared" si="23"/>
        <v>1.8586380981864199</v>
      </c>
      <c r="Q48" s="24">
        <f t="shared" si="24"/>
        <v>6.7929810835365956</v>
      </c>
      <c r="R48" s="24">
        <f t="shared" si="25"/>
        <v>11.315114036683317</v>
      </c>
      <c r="S48" s="24">
        <f t="shared" si="26"/>
        <v>0.28960918924749723</v>
      </c>
      <c r="T48" s="24">
        <f t="shared" si="27"/>
        <v>1.087032274008261</v>
      </c>
      <c r="U48">
        <v>450</v>
      </c>
      <c r="V48" t="str">
        <f t="shared" si="11"/>
        <v>ok</v>
      </c>
    </row>
    <row r="49" spans="1:22" x14ac:dyDescent="0.3">
      <c r="A49" s="22" t="str">
        <f>Galeria!A50</f>
        <v>PV47 - PV48</v>
      </c>
      <c r="B49" s="26">
        <f>Galeria!B50</f>
        <v>28.320399999999999</v>
      </c>
      <c r="C49" s="24">
        <f>Galeria!I50</f>
        <v>0.24318662172251007</v>
      </c>
      <c r="D49" s="36">
        <f>Galeria!P50</f>
        <v>8.8275589327834348E-3</v>
      </c>
      <c r="E49" s="25">
        <v>1.2999999999999999E-2</v>
      </c>
      <c r="F49" s="26">
        <f t="shared" si="15"/>
        <v>434.45291736154957</v>
      </c>
      <c r="G49" s="48">
        <f t="shared" si="1"/>
        <v>450</v>
      </c>
      <c r="H49" s="27">
        <v>4.1871753272356038</v>
      </c>
      <c r="I49" s="24">
        <f t="shared" si="16"/>
        <v>0.13574643380282514</v>
      </c>
      <c r="J49" s="24">
        <f t="shared" si="17"/>
        <v>0.12788867663536738</v>
      </c>
      <c r="K49" s="24">
        <f t="shared" si="18"/>
        <v>0.24413385369678489</v>
      </c>
      <c r="L49" s="27">
        <f t="shared" si="19"/>
        <v>-9.4723197427482031E-4</v>
      </c>
      <c r="M49" s="24">
        <f t="shared" si="20"/>
        <v>0.38989297837010606</v>
      </c>
      <c r="N49" s="26">
        <f t="shared" si="21"/>
        <v>74.965028729757748</v>
      </c>
      <c r="O49" s="24">
        <f t="shared" si="22"/>
        <v>0.33734262928390985</v>
      </c>
      <c r="P49" s="24">
        <f t="shared" si="23"/>
        <v>1.9015492858361258</v>
      </c>
      <c r="Q49" s="24">
        <f t="shared" si="24"/>
        <v>6.9238869547246171</v>
      </c>
      <c r="R49" s="24">
        <f t="shared" si="25"/>
        <v>11.755417610677414</v>
      </c>
      <c r="S49" s="24">
        <f t="shared" si="26"/>
        <v>0.34101475833196532</v>
      </c>
      <c r="T49" s="24">
        <f t="shared" si="27"/>
        <v>1.0452916226487061</v>
      </c>
      <c r="U49">
        <v>450</v>
      </c>
      <c r="V49" t="str">
        <f t="shared" si="11"/>
        <v>ok</v>
      </c>
    </row>
    <row r="50" spans="1:22" x14ac:dyDescent="0.3">
      <c r="A50" s="22" t="str">
        <f>Galeria!A51</f>
        <v>PV48 - PV49</v>
      </c>
      <c r="B50" s="26">
        <f>Galeria!B51</f>
        <v>28.294599999999999</v>
      </c>
      <c r="C50" s="24">
        <f>Galeria!I51</f>
        <v>0.2626344857687774</v>
      </c>
      <c r="D50" s="36">
        <f>Galeria!P51</f>
        <v>8.8356082079266013E-3</v>
      </c>
      <c r="E50" s="25">
        <v>1.2999999999999999E-2</v>
      </c>
      <c r="F50" s="26">
        <f t="shared" si="15"/>
        <v>447.09316204153816</v>
      </c>
      <c r="G50" s="48">
        <f t="shared" si="1"/>
        <v>450</v>
      </c>
      <c r="H50" s="27">
        <v>4.4304816104938016</v>
      </c>
      <c r="I50" s="24">
        <f t="shared" si="16"/>
        <v>0.13688995340121679</v>
      </c>
      <c r="J50" s="24">
        <f t="shared" si="17"/>
        <v>0.136459894771225</v>
      </c>
      <c r="K50" s="24">
        <f t="shared" si="18"/>
        <v>0.2620762234105754</v>
      </c>
      <c r="L50" s="27">
        <f t="shared" si="19"/>
        <v>5.5826235820199965E-4</v>
      </c>
      <c r="M50" s="24">
        <f t="shared" si="20"/>
        <v>0.3597451300396009</v>
      </c>
      <c r="N50" s="26">
        <f t="shared" si="21"/>
        <v>80.037721431558097</v>
      </c>
      <c r="O50" s="24">
        <f t="shared" si="22"/>
        <v>0.36016974644201144</v>
      </c>
      <c r="P50" s="24">
        <f t="shared" si="23"/>
        <v>1.9246276439615031</v>
      </c>
      <c r="Q50" s="24">
        <f t="shared" si="24"/>
        <v>6.9529889934598437</v>
      </c>
      <c r="R50" s="24">
        <f t="shared" si="25"/>
        <v>11.865253819332459</v>
      </c>
      <c r="S50" s="24">
        <f t="shared" si="26"/>
        <v>0.37874614066250861</v>
      </c>
      <c r="T50" s="24">
        <f t="shared" si="27"/>
        <v>1.0239024935245322</v>
      </c>
      <c r="U50">
        <v>450</v>
      </c>
      <c r="V50" t="str">
        <f t="shared" si="11"/>
        <v>ok</v>
      </c>
    </row>
    <row r="51" spans="1:22" x14ac:dyDescent="0.3">
      <c r="A51" s="22" t="str">
        <f>Galeria!A52</f>
        <v>PV49 - PV40</v>
      </c>
      <c r="B51" s="26">
        <f>Galeria!B52</f>
        <v>28.294599999999999</v>
      </c>
      <c r="C51" s="24">
        <f>Galeria!I52</f>
        <v>0.28351841380037185</v>
      </c>
      <c r="D51" s="36">
        <f>Galeria!P52</f>
        <v>8.8356082079266013E-3</v>
      </c>
      <c r="E51" s="25">
        <v>1.2999999999999999E-2</v>
      </c>
      <c r="F51" s="26">
        <f t="shared" si="15"/>
        <v>460.10727199401339</v>
      </c>
      <c r="G51" s="48">
        <f t="shared" si="1"/>
        <v>500</v>
      </c>
      <c r="H51" s="27">
        <v>3.8639044528607802</v>
      </c>
      <c r="I51" s="24">
        <f t="shared" si="16"/>
        <v>0.14638772258777816</v>
      </c>
      <c r="J51" s="24">
        <f t="shared" si="17"/>
        <v>0.14140704328776615</v>
      </c>
      <c r="K51" s="24">
        <f t="shared" si="18"/>
        <v>0.28399826302257769</v>
      </c>
      <c r="L51" s="27">
        <f t="shared" si="19"/>
        <v>-4.7984922220584147E-4</v>
      </c>
      <c r="M51" s="24">
        <f t="shared" si="20"/>
        <v>0.46774450244155702</v>
      </c>
      <c r="N51" s="26">
        <f t="shared" si="21"/>
        <v>67.667790024703223</v>
      </c>
      <c r="O51" s="24">
        <f t="shared" si="22"/>
        <v>0.33833895012351611</v>
      </c>
      <c r="P51" s="24">
        <f t="shared" si="23"/>
        <v>2.0049808496696038</v>
      </c>
      <c r="Q51" s="24">
        <f t="shared" si="24"/>
        <v>7.190152161748717</v>
      </c>
      <c r="R51" s="24">
        <f t="shared" si="25"/>
        <v>12.688494965347662</v>
      </c>
      <c r="S51" s="24">
        <f t="shared" si="26"/>
        <v>0.33457389322980169</v>
      </c>
      <c r="T51" s="24">
        <f t="shared" si="27"/>
        <v>1.1005245283646532</v>
      </c>
      <c r="U51">
        <v>500</v>
      </c>
      <c r="V51" t="str">
        <f t="shared" si="11"/>
        <v>ok</v>
      </c>
    </row>
    <row r="52" spans="1:22" x14ac:dyDescent="0.3">
      <c r="A52" s="22" t="str">
        <f>Galeria!A53</f>
        <v>PV40 - PV41</v>
      </c>
      <c r="B52" s="26">
        <f>Galeria!B53</f>
        <v>24.656949999999998</v>
      </c>
      <c r="C52" s="24">
        <f>Galeria!I53</f>
        <v>0.20050631332492902</v>
      </c>
      <c r="D52" s="36">
        <f>Galeria!P53</f>
        <v>1.0139129129920774E-2</v>
      </c>
      <c r="E52" s="25">
        <v>1.2999999999999999E-2</v>
      </c>
      <c r="F52" s="26">
        <f t="shared" si="15"/>
        <v>393.76159181834697</v>
      </c>
      <c r="G52" s="48">
        <f t="shared" si="1"/>
        <v>400</v>
      </c>
      <c r="H52" s="27">
        <v>4.3424384226907717</v>
      </c>
      <c r="I52" s="24">
        <f t="shared" si="16"/>
        <v>0.12147054564310018</v>
      </c>
      <c r="J52" s="24">
        <f t="shared" si="17"/>
        <v>0.10549567292516228</v>
      </c>
      <c r="K52" s="24">
        <f t="shared" si="18"/>
        <v>0.20041902408095658</v>
      </c>
      <c r="L52" s="27">
        <f t="shared" si="19"/>
        <v>8.7289243972443753E-5</v>
      </c>
      <c r="M52" s="24">
        <f t="shared" si="20"/>
        <v>0.3300387050161237</v>
      </c>
      <c r="N52" s="26">
        <f t="shared" si="21"/>
        <v>78.249572228863059</v>
      </c>
      <c r="O52" s="24">
        <f t="shared" si="22"/>
        <v>0.31299828891545223</v>
      </c>
      <c r="P52" s="24">
        <f t="shared" si="23"/>
        <v>1.900611729043773</v>
      </c>
      <c r="Q52" s="24">
        <f t="shared" si="24"/>
        <v>6.54969754258296</v>
      </c>
      <c r="R52" s="24">
        <f t="shared" si="25"/>
        <v>12.082050423499389</v>
      </c>
      <c r="S52" s="24">
        <f t="shared" si="26"/>
        <v>0.33508304173633718</v>
      </c>
      <c r="T52" s="24">
        <f t="shared" si="27"/>
        <v>1.0846457519797934</v>
      </c>
      <c r="U52">
        <v>400</v>
      </c>
      <c r="V52" t="str">
        <f t="shared" si="11"/>
        <v>ok</v>
      </c>
    </row>
    <row r="53" spans="1:22" x14ac:dyDescent="0.3">
      <c r="A53" s="22" t="str">
        <f>Galeria!A54</f>
        <v>PV41 - PV23</v>
      </c>
      <c r="B53" s="26">
        <f>Galeria!B54</f>
        <v>24.656949999999998</v>
      </c>
      <c r="C53" s="24">
        <f>Galeria!I54</f>
        <v>0.56963858917040411</v>
      </c>
      <c r="D53" s="36">
        <f>Galeria!P54</f>
        <v>1.0139129129920774E-2</v>
      </c>
      <c r="E53" s="25">
        <v>1.2999999999999999E-2</v>
      </c>
      <c r="F53" s="26">
        <f t="shared" si="15"/>
        <v>582.48548609443685</v>
      </c>
      <c r="G53" s="48">
        <f t="shared" si="1"/>
        <v>600</v>
      </c>
      <c r="H53" s="27">
        <v>4.2193986429556096</v>
      </c>
      <c r="I53" s="24">
        <f t="shared" si="16"/>
        <v>0.18131684133509635</v>
      </c>
      <c r="J53" s="24">
        <f t="shared" si="17"/>
        <v>0.22951441028229091</v>
      </c>
      <c r="K53" s="24">
        <f t="shared" si="18"/>
        <v>0.56949820941801177</v>
      </c>
      <c r="L53" s="27">
        <f t="shared" si="19"/>
        <v>1.4037975239233891E-4</v>
      </c>
      <c r="M53" s="24">
        <f t="shared" si="20"/>
        <v>0.51496330504507681</v>
      </c>
      <c r="N53" s="26">
        <f t="shared" si="21"/>
        <v>75.659738574847609</v>
      </c>
      <c r="O53" s="24">
        <f t="shared" si="22"/>
        <v>0.45395843144908565</v>
      </c>
      <c r="P53" s="24">
        <f t="shared" si="23"/>
        <v>2.4819295157536208</v>
      </c>
      <c r="Q53" s="24">
        <f t="shared" si="24"/>
        <v>8.0021157006070993</v>
      </c>
      <c r="R53" s="24">
        <f t="shared" si="25"/>
        <v>18.034653652391064</v>
      </c>
      <c r="S53" s="24">
        <f t="shared" si="26"/>
        <v>0.49964215941436452</v>
      </c>
      <c r="T53" s="24">
        <f t="shared" si="27"/>
        <v>1.1761071677152211</v>
      </c>
      <c r="U53">
        <v>600</v>
      </c>
      <c r="V53" t="str">
        <f t="shared" si="11"/>
        <v>ok</v>
      </c>
    </row>
    <row r="54" spans="1:22" ht="15" thickBot="1" x14ac:dyDescent="0.35">
      <c r="A54" s="23" t="str">
        <f>Galeria!A55</f>
        <v>PV23 - Des.</v>
      </c>
      <c r="B54" s="45">
        <f>Galeria!B55</f>
        <v>63.424700000000001</v>
      </c>
      <c r="C54" s="24">
        <f>Galeria!I55</f>
        <v>0.56787754292986403</v>
      </c>
      <c r="D54" s="42">
        <f>Galeria!P55</f>
        <v>1.5766728104350512E-2</v>
      </c>
      <c r="E54" s="25">
        <v>1.2999999999999999E-2</v>
      </c>
      <c r="F54" s="45">
        <f t="shared" ref="F54" si="28">1.55*(((C54*E54)/(D54^0.5))^(3/8))*1000</f>
        <v>535.58625109762841</v>
      </c>
      <c r="G54" s="48">
        <f t="shared" si="1"/>
        <v>600</v>
      </c>
      <c r="H54" s="46">
        <v>3.6986348095262089</v>
      </c>
      <c r="I54" s="41">
        <f t="shared" ref="I54" si="29">(1/4)*(1-(SIN(H54)/H54))*(G54/1000)</f>
        <v>0.17144079599651346</v>
      </c>
      <c r="J54" s="41">
        <f t="shared" ref="J54" si="30">(1/8)*(H54-SIN(H54))*((G54/1000)^2)</f>
        <v>0.1902290687536759</v>
      </c>
      <c r="K54" s="41">
        <f t="shared" ref="K54" si="31">(1/E54)*J54*(I54^(2/3))*(D54^0.5)</f>
        <v>0.56704009465017335</v>
      </c>
      <c r="L54" s="46">
        <f t="shared" ref="L54" si="32">C54-K54</f>
        <v>8.3744827969067792E-4</v>
      </c>
      <c r="M54" s="41">
        <f t="shared" ref="M54" si="33">(G54/1000)*SIN(H54/2)</f>
        <v>0.57687785736241937</v>
      </c>
      <c r="N54" s="45">
        <f t="shared" ref="N54" si="34">(1/2)*(1-COS(H54/2))*100</f>
        <v>63.746701039841469</v>
      </c>
      <c r="O54" s="41">
        <f t="shared" ref="O54" si="35">(N54/100)*G54/1000</f>
        <v>0.38248020623904883</v>
      </c>
      <c r="P54" s="41">
        <f t="shared" ref="P54" si="36">C54/J54</f>
        <v>2.9852301052117234</v>
      </c>
      <c r="Q54" s="41">
        <f t="shared" ref="Q54" si="37">6*(SQRT(9.81*I54))</f>
        <v>7.7811330482217507</v>
      </c>
      <c r="R54" s="41">
        <f t="shared" ref="R54" si="38">9810*I54*D54</f>
        <v>26.517022685575128</v>
      </c>
      <c r="S54" s="41">
        <f t="shared" ref="S54" si="39">((C54^2)/(9.81*M54^2))^(1/3)</f>
        <v>0.46226486000740558</v>
      </c>
      <c r="T54" s="41">
        <f t="shared" ref="T54" si="40">P54/(SQRT(9.81*(O54)))</f>
        <v>1.5411284101681633</v>
      </c>
      <c r="U54">
        <v>600</v>
      </c>
      <c r="V54" t="str">
        <f t="shared" si="11"/>
        <v>ok</v>
      </c>
    </row>
    <row r="55" spans="1:22" x14ac:dyDescent="0.3">
      <c r="C55" s="19"/>
      <c r="D55" s="39"/>
      <c r="F55" s="43"/>
      <c r="G55" s="44"/>
      <c r="H55" s="19"/>
      <c r="I55" s="19"/>
      <c r="J55" s="19"/>
      <c r="K55" s="19"/>
      <c r="L55" s="19"/>
      <c r="M55" s="19"/>
      <c r="N55" s="43"/>
      <c r="O55" s="19"/>
      <c r="P55" s="19"/>
      <c r="Q55" s="19"/>
      <c r="R55" s="19"/>
      <c r="S55" s="19"/>
      <c r="T55" s="19"/>
    </row>
    <row r="56" spans="1:22" x14ac:dyDescent="0.3">
      <c r="C56" s="19"/>
      <c r="D56" s="39"/>
      <c r="F56" s="43"/>
      <c r="G56" s="44"/>
      <c r="H56" s="19"/>
      <c r="I56" s="19"/>
      <c r="J56" s="19"/>
      <c r="K56" s="19"/>
      <c r="L56" s="19"/>
      <c r="M56" s="19"/>
      <c r="N56" s="43"/>
      <c r="O56" s="19"/>
      <c r="P56" s="19"/>
      <c r="Q56" s="19"/>
      <c r="R56" s="19"/>
      <c r="S56" s="19"/>
      <c r="T56" s="19"/>
    </row>
  </sheetData>
  <mergeCells count="2">
    <mergeCell ref="A4:A5"/>
    <mergeCell ref="A1:T3"/>
  </mergeCells>
  <pageMargins left="0.511811024" right="0.511811024" top="0.78740157499999996" bottom="0.78740157499999996" header="0.31496062000000002" footer="0.31496062000000002"/>
  <pageSetup paperSize="9" scale="43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A72A29-5F6E-4CE4-A465-F75DFB6CA16D}">
  <dimension ref="A1:R12"/>
  <sheetViews>
    <sheetView workbookViewId="0">
      <selection activeCell="C7" sqref="C7"/>
    </sheetView>
  </sheetViews>
  <sheetFormatPr defaultRowHeight="14.4" x14ac:dyDescent="0.3"/>
  <cols>
    <col min="2" max="2" width="10.6640625" bestFit="1" customWidth="1"/>
  </cols>
  <sheetData>
    <row r="1" spans="1:18" x14ac:dyDescent="0.3">
      <c r="A1" t="s">
        <v>54</v>
      </c>
      <c r="B1" t="s">
        <v>55</v>
      </c>
      <c r="C1">
        <v>0.75</v>
      </c>
      <c r="D1" t="s">
        <v>56</v>
      </c>
      <c r="F1" t="s">
        <v>67</v>
      </c>
      <c r="I1">
        <v>0.3</v>
      </c>
      <c r="J1" t="s">
        <v>61</v>
      </c>
      <c r="K1" t="s">
        <v>68</v>
      </c>
      <c r="M1" t="s">
        <v>69</v>
      </c>
      <c r="O1" t="s">
        <v>80</v>
      </c>
      <c r="Q1" s="20" t="s">
        <v>81</v>
      </c>
      <c r="R1">
        <v>1.2999999999999999E-2</v>
      </c>
    </row>
    <row r="2" spans="1:18" x14ac:dyDescent="0.3">
      <c r="B2" t="s">
        <v>57</v>
      </c>
      <c r="C2">
        <v>5</v>
      </c>
      <c r="D2" t="s">
        <v>56</v>
      </c>
      <c r="I2">
        <v>0.4</v>
      </c>
      <c r="J2" t="s">
        <v>61</v>
      </c>
      <c r="Q2" t="s">
        <v>82</v>
      </c>
    </row>
    <row r="3" spans="1:18" x14ac:dyDescent="0.3">
      <c r="B3" t="s">
        <v>58</v>
      </c>
      <c r="C3">
        <v>0.6</v>
      </c>
      <c r="D3" t="s">
        <v>59</v>
      </c>
      <c r="I3">
        <v>0.5</v>
      </c>
      <c r="J3" t="s">
        <v>61</v>
      </c>
    </row>
    <row r="4" spans="1:18" x14ac:dyDescent="0.3">
      <c r="B4" t="s">
        <v>60</v>
      </c>
      <c r="C4">
        <v>0.4</v>
      </c>
      <c r="D4" t="s">
        <v>61</v>
      </c>
      <c r="I4">
        <v>0.6</v>
      </c>
      <c r="J4" t="s">
        <v>61</v>
      </c>
    </row>
    <row r="5" spans="1:18" x14ac:dyDescent="0.3">
      <c r="B5" t="s">
        <v>64</v>
      </c>
      <c r="C5">
        <v>1</v>
      </c>
      <c r="D5" t="s">
        <v>62</v>
      </c>
      <c r="I5">
        <v>0.8</v>
      </c>
      <c r="J5" t="s">
        <v>61</v>
      </c>
    </row>
    <row r="6" spans="1:18" x14ac:dyDescent="0.3">
      <c r="B6" s="18" t="s">
        <v>65</v>
      </c>
      <c r="C6">
        <v>1</v>
      </c>
      <c r="D6" t="s">
        <v>63</v>
      </c>
      <c r="I6">
        <v>1</v>
      </c>
      <c r="J6" t="s">
        <v>61</v>
      </c>
    </row>
    <row r="7" spans="1:18" x14ac:dyDescent="0.3">
      <c r="B7" t="s">
        <v>66</v>
      </c>
      <c r="I7">
        <v>1.2</v>
      </c>
      <c r="J7" t="s">
        <v>61</v>
      </c>
    </row>
    <row r="8" spans="1:18" x14ac:dyDescent="0.3">
      <c r="I8">
        <v>1.5</v>
      </c>
      <c r="J8" t="s">
        <v>61</v>
      </c>
    </row>
    <row r="12" spans="1:18" x14ac:dyDescent="0.3">
      <c r="B12" t="s">
        <v>71</v>
      </c>
      <c r="C12">
        <v>5</v>
      </c>
      <c r="D12" t="s">
        <v>72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6</vt:i4>
      </vt:variant>
    </vt:vector>
  </HeadingPairs>
  <TitlesOfParts>
    <vt:vector size="13" baseType="lpstr">
      <vt:lpstr>Bocas de Lobo</vt:lpstr>
      <vt:lpstr>Sarjetas</vt:lpstr>
      <vt:lpstr>Dimensionamento automático</vt:lpstr>
      <vt:lpstr>Galeria</vt:lpstr>
      <vt:lpstr>Poço de Visita</vt:lpstr>
      <vt:lpstr>Escoamento</vt:lpstr>
      <vt:lpstr>Especificações</vt:lpstr>
      <vt:lpstr>'Bocas de Lobo'!Area_de_impressao</vt:lpstr>
      <vt:lpstr>'Dimensionamento automático'!Area_de_impressao</vt:lpstr>
      <vt:lpstr>Escoamento!Area_de_impressao</vt:lpstr>
      <vt:lpstr>Galeria!Area_de_impressao</vt:lpstr>
      <vt:lpstr>'Poço de Visita'!Area_de_impressao</vt:lpstr>
      <vt:lpstr>Sarjetas!Area_de_impressao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Mahelvson Chaves</dc:creator>
  <cp:lastModifiedBy>Jadilson Junior</cp:lastModifiedBy>
  <cp:lastPrinted>2022-11-06T00:35:17Z</cp:lastPrinted>
  <dcterms:created xsi:type="dcterms:W3CDTF">2019-09-10T16:36:56Z</dcterms:created>
  <dcterms:modified xsi:type="dcterms:W3CDTF">2024-07-22T02:48:28Z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</Properties>
</file>