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g017sr\7ª GRA\USA\2024\PROCESSOS DE CONTRATAÇÃO\MOTORISTAS - LICITAÇÃO - PREGÃO\Documentos Retificados\"/>
    </mc:Choice>
  </mc:AlternateContent>
  <bookViews>
    <workbookView xWindow="0" yWindow="0" windowWidth="28800" windowHeight="12435" activeTab="3"/>
  </bookViews>
  <sheets>
    <sheet name="QUADRO RESUMO" sheetId="6" r:id="rId1"/>
    <sheet name="PRINCIPAL - Módulos 1 a 6" sheetId="1" r:id="rId2"/>
    <sheet name="INSUMOS - Módulo 5" sheetId="4" r:id="rId3"/>
    <sheet name="DIÁRIAS - Módulo 7" sheetId="3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6" l="1"/>
  <c r="C8" i="6" s="1"/>
  <c r="B6" i="6"/>
  <c r="C6" i="6" s="1"/>
  <c r="B5" i="6"/>
  <c r="C5" i="6"/>
  <c r="B7" i="6" l="1"/>
  <c r="C7" i="6" s="1"/>
  <c r="D59" i="1" l="1"/>
  <c r="D36" i="1"/>
  <c r="D40" i="1"/>
  <c r="D42" i="1"/>
  <c r="A8" i="6" l="1"/>
  <c r="A21" i="4" l="1"/>
  <c r="E9" i="4" l="1"/>
  <c r="F9" i="4" s="1"/>
  <c r="E10" i="4"/>
  <c r="F10" i="4" s="1"/>
  <c r="A22" i="4"/>
  <c r="E16" i="4"/>
  <c r="E17" i="4" s="1"/>
  <c r="E22" i="4" s="1"/>
  <c r="E6" i="4"/>
  <c r="F6" i="4" s="1"/>
  <c r="E7" i="4"/>
  <c r="F7" i="4" s="1"/>
  <c r="E8" i="4"/>
  <c r="F8" i="4" s="1"/>
  <c r="E11" i="4"/>
  <c r="F11" i="4" s="1"/>
  <c r="E5" i="4"/>
  <c r="F5" i="4" s="1"/>
  <c r="B118" i="1"/>
  <c r="B115" i="1"/>
  <c r="D76" i="1"/>
  <c r="C67" i="1"/>
  <c r="C37" i="1"/>
  <c r="E12" i="4" l="1"/>
  <c r="E21" i="4" s="1"/>
  <c r="E23" i="4" s="1"/>
  <c r="F23" i="4" s="1"/>
  <c r="F16" i="4"/>
  <c r="F17" i="4" s="1"/>
  <c r="F22" i="4" l="1"/>
  <c r="D95" i="1"/>
  <c r="F12" i="4"/>
  <c r="F21" i="4" l="1"/>
  <c r="D94" i="1"/>
  <c r="B27" i="3" l="1"/>
  <c r="C21" i="3"/>
  <c r="C18" i="3" s="1"/>
  <c r="C11" i="3"/>
  <c r="C7" i="3" s="1"/>
  <c r="C25" i="3" l="1"/>
  <c r="C26" i="3"/>
  <c r="C17" i="3"/>
  <c r="C8" i="3"/>
  <c r="C27" i="3" l="1"/>
  <c r="B116" i="1"/>
  <c r="B114" i="1"/>
  <c r="B113" i="1"/>
  <c r="B112" i="1"/>
  <c r="D96" i="1"/>
  <c r="D116" i="1" s="1"/>
  <c r="C90" i="1"/>
  <c r="D52" i="1"/>
  <c r="D79" i="1" s="1"/>
  <c r="C48" i="1"/>
  <c r="C70" i="1" s="1"/>
  <c r="D24" i="1"/>
  <c r="D51" i="1" s="1"/>
  <c r="D55" i="1" l="1"/>
  <c r="D61" i="1" s="1"/>
  <c r="D31" i="1"/>
  <c r="C72" i="1"/>
  <c r="D70" i="1" l="1"/>
  <c r="D66" i="1"/>
  <c r="D35" i="1"/>
  <c r="D78" i="1"/>
  <c r="D68" i="1"/>
  <c r="D112" i="1"/>
  <c r="D69" i="1"/>
  <c r="D71" i="1"/>
  <c r="D67" i="1"/>
  <c r="D72" i="1" l="1"/>
  <c r="D80" i="1" s="1"/>
  <c r="D37" i="1"/>
  <c r="D114" i="1" l="1"/>
  <c r="D41" i="1"/>
  <c r="D45" i="1"/>
  <c r="D46" i="1"/>
  <c r="D44" i="1"/>
  <c r="D43" i="1"/>
  <c r="D47" i="1"/>
  <c r="D48" i="1" l="1"/>
  <c r="D60" i="1" s="1"/>
  <c r="D62" i="1" s="1"/>
  <c r="D113" i="1" l="1"/>
  <c r="D77" i="1"/>
  <c r="D81" i="1" s="1"/>
  <c r="D86" i="1" s="1"/>
  <c r="D85" i="1" l="1"/>
  <c r="D84" i="1"/>
  <c r="D89" i="1"/>
  <c r="D88" i="1"/>
  <c r="D87" i="1"/>
  <c r="D90" i="1" s="1"/>
  <c r="D115" i="1" s="1"/>
  <c r="D117" i="1" s="1"/>
  <c r="D100" i="1" l="1"/>
  <c r="D101" i="1" l="1"/>
  <c r="D102" i="1"/>
  <c r="D103" i="1" l="1"/>
  <c r="D104" i="1" l="1"/>
  <c r="D108" i="1" s="1"/>
  <c r="D118" i="1" s="1"/>
  <c r="D119" i="1" s="1"/>
  <c r="B9" i="3" l="1"/>
  <c r="B19" i="3"/>
  <c r="C19" i="3"/>
  <c r="C9" i="3"/>
</calcChain>
</file>

<file path=xl/sharedStrings.xml><?xml version="1.0" encoding="utf-8"?>
<sst xmlns="http://schemas.openxmlformats.org/spreadsheetml/2006/main" count="253" uniqueCount="172">
  <si>
    <t xml:space="preserve">Planilha de Custos e Formação de Preços </t>
  </si>
  <si>
    <t>Motorista - Categoria "D"</t>
  </si>
  <si>
    <t>Discriminação dos Serviços</t>
  </si>
  <si>
    <t>Data de apresentação da proposta</t>
  </si>
  <si>
    <t>Município</t>
  </si>
  <si>
    <t>Teresina - PI</t>
  </si>
  <si>
    <t>Ano do Acordo, Convenção ou Dissídio Coletivo</t>
  </si>
  <si>
    <t>Tipo de Serviço</t>
  </si>
  <si>
    <t xml:space="preserve">Motorista </t>
  </si>
  <si>
    <t>Unidade de Medida</t>
  </si>
  <si>
    <t>Posto</t>
  </si>
  <si>
    <t>Nº de meses de execução contratual</t>
  </si>
  <si>
    <t>Regime Tributário da Empresa</t>
  </si>
  <si>
    <t xml:space="preserve">Se Optante pelo Simples Nacional, preencher o faturamento acumulado dos últimos 12 meses 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</si>
  <si>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</si>
  <si>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</si>
  <si>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</si>
  <si>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 xml:space="preserve">3421-25 </t>
  </si>
  <si>
    <t>Salário Nominativo da Categoria Profissional (veículos com capacidade até 10 toneladas)</t>
  </si>
  <si>
    <t>Categoria profissional (vinculada à execução contratual)</t>
  </si>
  <si>
    <t>Motorista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</si>
  <si>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</si>
  <si>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</si>
  <si>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</si>
  <si>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</si>
  <si>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</si>
  <si>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A</t>
  </si>
  <si>
    <t>Salário Base</t>
  </si>
  <si>
    <t>B</t>
  </si>
  <si>
    <t xml:space="preserve">Adicional Periculosidade </t>
  </si>
  <si>
    <t>C</t>
  </si>
  <si>
    <t>Adicional Insalubridade</t>
  </si>
  <si>
    <t>20%~40%</t>
  </si>
  <si>
    <t>D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</si>
  <si>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</si>
  <si>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</si>
  <si>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</si>
  <si>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</si>
  <si>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</si>
  <si>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</si>
  <si>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</si>
  <si>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</si>
  <si>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</si>
  <si>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</si>
  <si>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t>TOTAL SUBMÓDULO 2.1</t>
  </si>
  <si>
    <t>Submódulo 2.2 - GPS, FGTS e Outras Contribuições</t>
  </si>
  <si>
    <t xml:space="preserve">INSS </t>
  </si>
  <si>
    <t xml:space="preserve">Salário Educação </t>
  </si>
  <si>
    <t>SESC ou SESI</t>
  </si>
  <si>
    <t xml:space="preserve">SENAI - SENAC </t>
  </si>
  <si>
    <t xml:space="preserve">SEBRAE 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</si>
  <si>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</si>
  <si>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</si>
  <si>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</si>
  <si>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</si>
  <si>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</si>
  <si>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Seguro de Vida</t>
  </si>
  <si>
    <t>Plano de Saúde / Plano de Assistência e Cuidado Pessoal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</si>
  <si>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</si>
  <si>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</si>
  <si>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</si>
  <si>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</si>
  <si>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</si>
  <si>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</si>
  <si>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</si>
  <si>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</si>
  <si>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</si>
  <si>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</si>
  <si>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</si>
  <si>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</si>
  <si>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</si>
  <si>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</si>
  <si>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</si>
  <si>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 xml:space="preserve">Aviso Prévio Trabalhado </t>
  </si>
  <si>
    <t>Incidência de GPS, FGTS e outras contribuições sobre o Aviso Prévio Trabalhado</t>
  </si>
  <si>
    <t>Multa do FGTS e Contribuição Social sobre o Aviso Prévio Trabalhado</t>
  </si>
  <si>
    <t>TOTAL DO MÓDULO 3</t>
  </si>
  <si>
    <t>MÓDULO 4 – CUSTO DE REPOSIÇÃO DO PROFISSIONAL AUSENTE</t>
  </si>
  <si>
    <t>Submódulo 4.1 - Substituto nas Ausências Legais</t>
  </si>
  <si>
    <t>MÓDULO 5 – INSUMOS DIVERSOS</t>
  </si>
  <si>
    <t>INSUMOS DIVERSOS</t>
  </si>
  <si>
    <t xml:space="preserve">Uniformes 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</si>
  <si>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</si>
  <si>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</si>
  <si>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</si>
  <si>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</si>
  <si>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</si>
  <si>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COFINS</t>
  </si>
  <si>
    <t>ISS</t>
  </si>
  <si>
    <t>QUADRO RESUMO DO CUSTO POR EMPREGADO</t>
  </si>
  <si>
    <t>Descrição</t>
  </si>
  <si>
    <r>
      <t>13 (Décimo-terceiro) salário</t>
    </r>
    <r>
      <rPr>
        <sz val="11"/>
        <color indexed="10"/>
        <rFont val="Calibri"/>
        <family val="2"/>
        <scheme val="minor"/>
      </rPr>
      <t xml:space="preserve"> </t>
    </r>
  </si>
  <si>
    <t>Diária a ser paga ao motorista</t>
  </si>
  <si>
    <t>Tributos a serem retidos</t>
  </si>
  <si>
    <t>TRIBUTOS FEDERAIS (IN RFB 1234/2012)</t>
  </si>
  <si>
    <t>* Não haverá incidência de percentual de lucro sobre o custo da diária;</t>
  </si>
  <si>
    <t>* O modelo aqui apresentado serve de referência, e apresenta os percentuais máximos de retenção de tributos. A contratada deverá justificar os percentuais de retenção, conforme a legislação aplicável, caso sejam diferentes;</t>
  </si>
  <si>
    <t>* Tributos calculados através do coeficiente (1 - (5% + 9,45%)) = 0,8555</t>
  </si>
  <si>
    <t>* Planilha a ser apresentada somente no momento da apresentação da fatura mensal, visando ao reembolso das despesas com diárias efetivamente pagas.</t>
  </si>
  <si>
    <t>Valor da Diária - CAPITAL</t>
  </si>
  <si>
    <t>Valor da Diária - DEMAIS LOCALIDADES</t>
  </si>
  <si>
    <t>Total</t>
  </si>
  <si>
    <t>* Fórmula do preço total de uma diária (valor bruto): Diária a ser pago ao motorista * 0,8555</t>
  </si>
  <si>
    <t>Valor</t>
  </si>
  <si>
    <t>Diárias/mês por posto (capital)</t>
  </si>
  <si>
    <t>Diárias/mês por posto (demais localidades)</t>
  </si>
  <si>
    <t>Quantidade de diárias por mês para cada posto</t>
  </si>
  <si>
    <t>Diárias</t>
  </si>
  <si>
    <t>Adicional de Férias</t>
  </si>
  <si>
    <t>SAT (Art. 22, II, Lei 8.212, de 1991. Resolução MPS/CNPS Nº 1.329, de 25/4/2017.). RAT: 4923-0/02. FAP neutro = 1. Empresa deve preencher de acordo com o valor por ela suportado.</t>
  </si>
  <si>
    <t>Auxílio Refeição/Alimentação (Clausula 9ª)</t>
  </si>
  <si>
    <t xml:space="preserve">Auxílio Transporte </t>
  </si>
  <si>
    <t>Módulo 1 - Remuneração</t>
  </si>
  <si>
    <t>Módulo 2 - Encargos e Benefícios Anuais, Mensais e Diários</t>
  </si>
  <si>
    <t xml:space="preserve">Acréscimo das Férias com incidência do 2.2 </t>
  </si>
  <si>
    <t>Desconto do Auxílio-Refeição</t>
  </si>
  <si>
    <t>Módulo 3 - Provisão para Rescisão</t>
  </si>
  <si>
    <t xml:space="preserve">Base de Cálculo do Custo do Substituto (BCCS) = Módulos 1 + 2 + Férias - (V. Transporte e V. Alimentação) + 3 </t>
  </si>
  <si>
    <t>TOTAL BCCS</t>
  </si>
  <si>
    <t>Auxílio Doença</t>
  </si>
  <si>
    <t xml:space="preserve">Férias </t>
  </si>
  <si>
    <r>
      <t>Acidente de Trabalho</t>
    </r>
    <r>
      <rPr>
        <sz val="11"/>
        <color indexed="10"/>
        <rFont val="Calibri"/>
        <family val="2"/>
        <scheme val="minor"/>
      </rPr>
      <t xml:space="preserve"> </t>
    </r>
  </si>
  <si>
    <t>Faltas e Ausências Legais</t>
  </si>
  <si>
    <t>Afastamento Maternidade</t>
  </si>
  <si>
    <t>Licença Paternidade</t>
  </si>
  <si>
    <t>TOTAL MÓDULO 4</t>
  </si>
  <si>
    <r>
      <t xml:space="preserve">TRIBUTOS 
</t>
    </r>
    <r>
      <rPr>
        <sz val="10"/>
        <rFont val="Calibri"/>
        <family val="2"/>
        <scheme val="minor"/>
      </rPr>
      <t>Tributos (estimado com base no Lucro Presumido - a empresa deverá preencher de acordo com o regime tributário a que é submetida) - (E=(D/(1-Tributos%))x(Tributos%)</t>
    </r>
  </si>
  <si>
    <t>Subtotal 1 (A + Total Custos Diretos)</t>
  </si>
  <si>
    <t>Módulo</t>
  </si>
  <si>
    <t>Subtotal (A + B + C + D + E) - Custos Diretos</t>
  </si>
  <si>
    <t>Subtotal 2 (B+C)</t>
  </si>
  <si>
    <t>E.1</t>
  </si>
  <si>
    <t>E.2</t>
  </si>
  <si>
    <t xml:space="preserve">PIS </t>
  </si>
  <si>
    <t>E.3</t>
  </si>
  <si>
    <t>TOTAL DO MÓDULO 6 (A+C+E)</t>
  </si>
  <si>
    <t>Quantidade</t>
  </si>
  <si>
    <t>Unidade</t>
  </si>
  <si>
    <t xml:space="preserve">Valor Unitário </t>
  </si>
  <si>
    <t>Valor Mensal</t>
  </si>
  <si>
    <t>Par</t>
  </si>
  <si>
    <t>Crachá</t>
  </si>
  <si>
    <t>Preço total de 1 (uma) diária em capital para 1 (um) posto</t>
  </si>
  <si>
    <t>Preço total de 1 (uma) diária nas demais localidades para 1 (um) posto</t>
  </si>
  <si>
    <t>Valor Anual</t>
  </si>
  <si>
    <t>Cetificado Digital - A3</t>
  </si>
  <si>
    <t xml:space="preserve">Unidade </t>
  </si>
  <si>
    <t>Certificado Digital</t>
  </si>
  <si>
    <t>Uniforme</t>
  </si>
  <si>
    <t>TOTAL INSUMOS</t>
  </si>
  <si>
    <t>Formação de Preços de Insumos (por posto)</t>
  </si>
  <si>
    <t>MÓDULO 7 - DIÁRIAS (CUSTOS VARIÁVEIS)</t>
  </si>
  <si>
    <t>Custos Variáveis (Módulo 7 - Diárias)</t>
  </si>
  <si>
    <t>Custos Fixos (Módulos de 1 a 6 - Custos diretos e indiretos)</t>
  </si>
  <si>
    <t>MÓDULOS 1 A 6 (CUSTOS FIXOS)</t>
  </si>
  <si>
    <t>Mensal</t>
  </si>
  <si>
    <t>Composição dos Custos</t>
  </si>
  <si>
    <t>Quantidade máxima passível de contratação em função da unidade de medida</t>
  </si>
  <si>
    <t>PREÇO TOTAL POR EMPREGADO / MÊS (CUSTO FIXO)</t>
  </si>
  <si>
    <t>TOTAL DIÁRIAS / MÊS</t>
  </si>
  <si>
    <t>Formação de Preços de Diárias (por posto)</t>
  </si>
  <si>
    <t>Cinto social preto</t>
  </si>
  <si>
    <t>Camisa social branca (c/ logo da contratada)</t>
  </si>
  <si>
    <t>Camisa gola polo banca (c/ logo da contratada)</t>
  </si>
  <si>
    <t>Calça jeans tradicional</t>
  </si>
  <si>
    <t>Par de meia social preta</t>
  </si>
  <si>
    <t xml:space="preserve">Sapato / bota preta </t>
  </si>
  <si>
    <t xml:space="preserve">Anual </t>
  </si>
  <si>
    <t>Total (Custos Fixos + Custos Variáveis) - 1 Posto de Trabalho</t>
  </si>
  <si>
    <t>QUADRO RESUMO</t>
  </si>
  <si>
    <t xml:space="preserve">Anexo 4 – Planilha de Custos e Formação de Preços. </t>
  </si>
  <si>
    <t>CCT-PI000048/2024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</si>
</sst>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164" formatCode="&quot;R$ &quot;#,##0.00_);[Red]\(&quot;R$ &quot;#,##0.00\)"/>
    <numFmt numFmtId="165" formatCode="&quot;R$&quot;\ #,##0.00"/>
    <numFmt numFmtId="166" formatCode="0.00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indexed="10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rgb="FFBFBFBF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1">
    <xf numFmtId="0" fontId="0" fillId="0" borderId="0" xfId="0"/>
    <xf numFmtId="0" fontId="5" fillId="0" borderId="1" xfId="0" applyFont="1" applyBorder="1" applyAlignment="1">
      <alignment horizontal="left"/>
    </xf>
    <xf numFmtId="0" fontId="4" fillId="4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/>
    <xf numFmtId="0" fontId="4" fillId="6" borderId="1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44" fontId="0" fillId="0" borderId="0" xfId="0" applyNumberFormat="1"/>
    <xf numFmtId="0" fontId="0" fillId="0" borderId="0" xfId="0" applyAlignment="1">
      <alignment vertical="top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0" fontId="3" fillId="3" borderId="1" xfId="0" applyNumberFormat="1" applyFont="1" applyFill="1" applyBorder="1" applyAlignment="1">
      <alignment horizontal="center"/>
    </xf>
    <xf numFmtId="0" fontId="0" fillId="0" borderId="7" xfId="0" applyBorder="1"/>
    <xf numFmtId="44" fontId="0" fillId="0" borderId="20" xfId="1" applyFont="1" applyBorder="1" applyAlignment="1">
      <alignment horizontal="center"/>
    </xf>
    <xf numFmtId="0" fontId="0" fillId="0" borderId="5" xfId="0" applyBorder="1"/>
    <xf numFmtId="0" fontId="0" fillId="0" borderId="33" xfId="0" applyBorder="1"/>
    <xf numFmtId="0" fontId="0" fillId="0" borderId="18" xfId="0" applyBorder="1"/>
    <xf numFmtId="44" fontId="0" fillId="0" borderId="19" xfId="1" applyFont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44" fontId="3" fillId="3" borderId="19" xfId="1" applyFont="1" applyFill="1" applyBorder="1" applyAlignment="1">
      <alignment horizontal="center"/>
    </xf>
    <xf numFmtId="0" fontId="3" fillId="7" borderId="34" xfId="0" applyFont="1" applyFill="1" applyBorder="1"/>
    <xf numFmtId="0" fontId="3" fillId="7" borderId="23" xfId="0" applyFont="1" applyFill="1" applyBorder="1" applyAlignment="1">
      <alignment horizontal="center"/>
    </xf>
    <xf numFmtId="44" fontId="3" fillId="7" borderId="24" xfId="1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 vertical="center"/>
    </xf>
    <xf numFmtId="0" fontId="3" fillId="7" borderId="18" xfId="0" applyFont="1" applyFill="1" applyBorder="1" applyAlignment="1">
      <alignment horizontal="center" vertical="center"/>
    </xf>
    <xf numFmtId="0" fontId="3" fillId="7" borderId="19" xfId="0" applyFont="1" applyFill="1" applyBorder="1" applyAlignment="1">
      <alignment horizontal="center" vertical="center"/>
    </xf>
    <xf numFmtId="0" fontId="0" fillId="0" borderId="18" xfId="0" applyBorder="1" applyAlignment="1">
      <alignment horizontal="left"/>
    </xf>
    <xf numFmtId="44" fontId="0" fillId="0" borderId="19" xfId="0" applyNumberFormat="1" applyBorder="1"/>
    <xf numFmtId="0" fontId="3" fillId="0" borderId="18" xfId="0" applyFont="1" applyBorder="1" applyAlignment="1">
      <alignment horizontal="center"/>
    </xf>
    <xf numFmtId="44" fontId="3" fillId="0" borderId="19" xfId="0" applyNumberFormat="1" applyFont="1" applyBorder="1" applyAlignment="1">
      <alignment horizontal="center"/>
    </xf>
    <xf numFmtId="10" fontId="0" fillId="0" borderId="0" xfId="2" applyNumberFormat="1" applyFont="1"/>
    <xf numFmtId="166" fontId="0" fillId="0" borderId="0" xfId="2" applyNumberFormat="1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0" fontId="5" fillId="0" borderId="1" xfId="2" applyNumberFormat="1" applyFont="1" applyBorder="1" applyAlignment="1">
      <alignment horizontal="center" vertical="center"/>
    </xf>
    <xf numFmtId="10" fontId="5" fillId="0" borderId="1" xfId="2" applyNumberFormat="1" applyFont="1" applyFill="1" applyBorder="1" applyAlignment="1">
      <alignment horizontal="center" vertical="center"/>
    </xf>
    <xf numFmtId="10" fontId="5" fillId="0" borderId="1" xfId="0" applyNumberFormat="1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10" fontId="5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0" fontId="5" fillId="0" borderId="1" xfId="0" applyNumberFormat="1" applyFont="1" applyFill="1" applyBorder="1" applyAlignment="1">
      <alignment vertical="center"/>
    </xf>
    <xf numFmtId="10" fontId="5" fillId="0" borderId="1" xfId="2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2" fontId="5" fillId="0" borderId="19" xfId="0" applyNumberFormat="1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3" xfId="0" applyFont="1" applyBorder="1" applyAlignment="1"/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3" fillId="7" borderId="18" xfId="0" applyFont="1" applyFill="1" applyBorder="1" applyAlignment="1">
      <alignment horizontal="center"/>
    </xf>
    <xf numFmtId="44" fontId="0" fillId="0" borderId="19" xfId="0" applyNumberFormat="1" applyBorder="1" applyAlignment="1">
      <alignment horizontal="center" vertical="center"/>
    </xf>
    <xf numFmtId="44" fontId="3" fillId="3" borderId="40" xfId="0" applyNumberFormat="1" applyFont="1" applyFill="1" applyBorder="1" applyAlignment="1">
      <alignment horizontal="center" vertical="center"/>
    </xf>
    <xf numFmtId="44" fontId="3" fillId="3" borderId="22" xfId="0" applyNumberFormat="1" applyFont="1" applyFill="1" applyBorder="1" applyAlignment="1">
      <alignment horizontal="center" vertical="center"/>
    </xf>
    <xf numFmtId="44" fontId="0" fillId="0" borderId="19" xfId="1" applyFont="1" applyBorder="1" applyAlignment="1">
      <alignment horizontal="center" vertical="center"/>
    </xf>
    <xf numFmtId="44" fontId="3" fillId="0" borderId="40" xfId="0" applyNumberFormat="1" applyFont="1" applyBorder="1" applyAlignment="1">
      <alignment horizontal="center" vertical="center"/>
    </xf>
    <xf numFmtId="44" fontId="3" fillId="0" borderId="22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4" fontId="5" fillId="0" borderId="19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7" xfId="0" applyFont="1" applyBorder="1" applyAlignment="1"/>
    <xf numFmtId="0" fontId="5" fillId="0" borderId="20" xfId="0" applyFont="1" applyBorder="1" applyAlignment="1"/>
    <xf numFmtId="164" fontId="5" fillId="3" borderId="19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" fontId="5" fillId="0" borderId="19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vertical="center"/>
    </xf>
    <xf numFmtId="2" fontId="4" fillId="0" borderId="19" xfId="0" applyNumberFormat="1" applyFont="1" applyBorder="1" applyAlignment="1">
      <alignment vertical="center"/>
    </xf>
    <xf numFmtId="2" fontId="5" fillId="0" borderId="19" xfId="0" applyNumberFormat="1" applyFont="1" applyFill="1" applyBorder="1" applyAlignment="1">
      <alignment horizontal="right" vertical="center"/>
    </xf>
    <xf numFmtId="2" fontId="5" fillId="0" borderId="19" xfId="0" applyNumberFormat="1" applyFont="1" applyBorder="1" applyAlignment="1">
      <alignment horizontal="right" vertical="center"/>
    </xf>
    <xf numFmtId="0" fontId="4" fillId="6" borderId="19" xfId="0" applyFont="1" applyFill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3" fillId="7" borderId="19" xfId="0" applyFont="1" applyFill="1" applyBorder="1" applyAlignment="1">
      <alignment horizontal="center" vertical="center" wrapText="1"/>
    </xf>
    <xf numFmtId="44" fontId="0" fillId="3" borderId="19" xfId="1" applyFont="1" applyFill="1" applyBorder="1" applyAlignment="1">
      <alignment horizontal="center" vertical="top" wrapText="1"/>
    </xf>
    <xf numFmtId="44" fontId="4" fillId="0" borderId="19" xfId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5" borderId="39" xfId="0" applyFont="1" applyFill="1" applyBorder="1" applyAlignment="1">
      <alignment horizontal="center"/>
    </xf>
    <xf numFmtId="44" fontId="5" fillId="0" borderId="19" xfId="1" applyFont="1" applyBorder="1" applyAlignment="1">
      <alignment vertical="center"/>
    </xf>
    <xf numFmtId="0" fontId="5" fillId="0" borderId="42" xfId="0" applyFont="1" applyFill="1" applyBorder="1" applyAlignment="1">
      <alignment horizontal="center"/>
    </xf>
    <xf numFmtId="0" fontId="5" fillId="0" borderId="18" xfId="0" applyFont="1" applyBorder="1" applyAlignment="1">
      <alignment horizontal="center" vertical="center"/>
    </xf>
    <xf numFmtId="44" fontId="5" fillId="0" borderId="19" xfId="1" applyFont="1" applyBorder="1" applyAlignment="1">
      <alignment horizontal="center" vertical="center"/>
    </xf>
    <xf numFmtId="44" fontId="4" fillId="0" borderId="19" xfId="1" applyFont="1" applyBorder="1" applyAlignment="1">
      <alignment vertical="center"/>
    </xf>
    <xf numFmtId="0" fontId="5" fillId="0" borderId="5" xfId="0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33" xfId="0" applyFont="1" applyBorder="1" applyAlignment="1">
      <alignment horizontal="left"/>
    </xf>
    <xf numFmtId="0" fontId="4" fillId="0" borderId="7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0" fillId="0" borderId="0" xfId="0" applyAlignment="1">
      <alignment vertical="center"/>
    </xf>
    <xf numFmtId="4" fontId="2" fillId="8" borderId="22" xfId="0" applyNumberFormat="1" applyFont="1" applyFill="1" applyBorder="1" applyAlignment="1">
      <alignment vertical="center"/>
    </xf>
    <xf numFmtId="0" fontId="0" fillId="0" borderId="0" xfId="0" quotePrefix="1"/>
    <xf numFmtId="0" fontId="11" fillId="9" borderId="12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left" vertical="center"/>
    </xf>
    <xf numFmtId="0" fontId="13" fillId="0" borderId="25" xfId="0" applyFont="1" applyBorder="1" applyAlignment="1">
      <alignment horizontal="center" vertical="center"/>
    </xf>
    <xf numFmtId="0" fontId="13" fillId="10" borderId="7" xfId="0" applyFont="1" applyFill="1" applyBorder="1" applyAlignment="1">
      <alignment horizontal="center" vertical="center"/>
    </xf>
    <xf numFmtId="0" fontId="11" fillId="9" borderId="11" xfId="0" applyFont="1" applyFill="1" applyBorder="1" applyAlignment="1">
      <alignment horizontal="center" vertical="center"/>
    </xf>
    <xf numFmtId="0" fontId="11" fillId="9" borderId="13" xfId="0" applyFont="1" applyFill="1" applyBorder="1" applyAlignment="1">
      <alignment horizontal="center" vertical="center"/>
    </xf>
    <xf numFmtId="44" fontId="12" fillId="0" borderId="0" xfId="1" applyFont="1" applyBorder="1" applyAlignment="1">
      <alignment horizontal="center" vertical="center"/>
    </xf>
    <xf numFmtId="44" fontId="12" fillId="0" borderId="33" xfId="1" applyFont="1" applyBorder="1" applyAlignment="1">
      <alignment horizontal="center" vertical="center"/>
    </xf>
    <xf numFmtId="44" fontId="13" fillId="0" borderId="26" xfId="1" applyFont="1" applyBorder="1" applyAlignment="1">
      <alignment horizontal="center" vertical="center"/>
    </xf>
    <xf numFmtId="44" fontId="13" fillId="0" borderId="38" xfId="1" applyFont="1" applyBorder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44" fontId="13" fillId="10" borderId="3" xfId="1" applyNumberFormat="1" applyFont="1" applyFill="1" applyBorder="1" applyAlignment="1">
      <alignment horizontal="center" vertical="center"/>
    </xf>
    <xf numFmtId="44" fontId="13" fillId="10" borderId="20" xfId="1" applyNumberFormat="1" applyFont="1" applyFill="1" applyBorder="1" applyAlignment="1">
      <alignment horizontal="center" vertical="center"/>
    </xf>
    <xf numFmtId="44" fontId="0" fillId="0" borderId="0" xfId="1" applyFont="1"/>
    <xf numFmtId="0" fontId="3" fillId="0" borderId="35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6" borderId="7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0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5" fillId="0" borderId="7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0" fillId="3" borderId="18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2" fillId="8" borderId="34" xfId="0" applyFont="1" applyFill="1" applyBorder="1" applyAlignment="1">
      <alignment horizontal="center"/>
    </xf>
    <xf numFmtId="0" fontId="2" fillId="8" borderId="23" xfId="0" applyFont="1" applyFill="1" applyBorder="1" applyAlignment="1">
      <alignment horizontal="center"/>
    </xf>
    <xf numFmtId="0" fontId="2" fillId="8" borderId="29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center"/>
    </xf>
    <xf numFmtId="0" fontId="4" fillId="6" borderId="20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7" borderId="7" xfId="0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center" vertical="top" wrapText="1"/>
    </xf>
    <xf numFmtId="0" fontId="3" fillId="7" borderId="4" xfId="0" applyFont="1" applyFill="1" applyBorder="1" applyAlignment="1">
      <alignment horizontal="center" vertical="top" wrapText="1"/>
    </xf>
    <xf numFmtId="0" fontId="3" fillId="0" borderId="21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2" fillId="8" borderId="14" xfId="0" applyFont="1" applyFill="1" applyBorder="1" applyAlignment="1">
      <alignment horizontal="center"/>
    </xf>
    <xf numFmtId="0" fontId="2" fillId="8" borderId="30" xfId="0" applyFont="1" applyFill="1" applyBorder="1" applyAlignment="1">
      <alignment horizontal="center"/>
    </xf>
    <xf numFmtId="0" fontId="2" fillId="8" borderId="15" xfId="0" applyFont="1" applyFill="1" applyBorder="1" applyAlignment="1">
      <alignment horizontal="center"/>
    </xf>
    <xf numFmtId="0" fontId="3" fillId="3" borderId="21" xfId="0" applyFont="1" applyFill="1" applyBorder="1" applyAlignment="1">
      <alignment horizontal="center"/>
    </xf>
    <xf numFmtId="0" fontId="3" fillId="3" borderId="40" xfId="0" applyFont="1" applyFill="1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3" fillId="7" borderId="7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8" fillId="0" borderId="28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38" xfId="0" applyBorder="1" applyAlignment="1">
      <alignment horizontal="left" vertical="center" wrapText="1"/>
    </xf>
    <xf numFmtId="0" fontId="3" fillId="3" borderId="18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2" fillId="8" borderId="31" xfId="0" applyFont="1" applyFill="1" applyBorder="1" applyAlignment="1">
      <alignment horizontal="center"/>
    </xf>
    <xf numFmtId="0" fontId="2" fillId="8" borderId="16" xfId="0" applyFont="1" applyFill="1" applyBorder="1" applyAlignment="1">
      <alignment horizontal="center"/>
    </xf>
    <xf numFmtId="0" fontId="2" fillId="8" borderId="32" xfId="0" applyFont="1" applyFill="1" applyBorder="1" applyAlignment="1">
      <alignment horizontal="center"/>
    </xf>
    <xf numFmtId="0" fontId="0" fillId="0" borderId="3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161925</xdr:rowOff>
    </xdr:from>
    <xdr:to>
      <xdr:col>0</xdr:col>
      <xdr:colOff>1641932</xdr:colOff>
      <xdr:row>0</xdr:row>
      <xdr:rowOff>514350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61925"/>
          <a:ext cx="1594307" cy="352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showGridLines="0" zoomScaleNormal="100" workbookViewId="0">
      <selection activeCell="A10" sqref="A10"/>
    </sheetView>
  </sheetViews>
  <sheetFormatPr defaultRowHeight="15" x14ac:dyDescent="0.25"/>
  <cols>
    <col min="1" max="1" width="60.7109375" customWidth="1"/>
    <col min="2" max="5" width="20.7109375" style="60" customWidth="1"/>
    <col min="7" max="8" width="12.140625" bestFit="1" customWidth="1"/>
  </cols>
  <sheetData>
    <row r="1" spans="1:8" s="100" customFormat="1" ht="54.95" customHeight="1" thickBot="1" x14ac:dyDescent="0.3">
      <c r="A1" s="120" t="s">
        <v>170</v>
      </c>
      <c r="B1" s="121"/>
      <c r="C1" s="122"/>
    </row>
    <row r="2" spans="1:8" ht="15.75" thickBot="1" x14ac:dyDescent="0.3">
      <c r="G2" s="116"/>
    </row>
    <row r="3" spans="1:8" ht="15.75" thickBot="1" x14ac:dyDescent="0.3">
      <c r="A3" s="117" t="s">
        <v>169</v>
      </c>
      <c r="B3" s="118"/>
      <c r="C3" s="119"/>
      <c r="G3" s="116"/>
    </row>
    <row r="4" spans="1:8" ht="15.75" thickBot="1" x14ac:dyDescent="0.3">
      <c r="A4" s="107" t="s">
        <v>156</v>
      </c>
      <c r="B4" s="108" t="s">
        <v>155</v>
      </c>
      <c r="C4" s="103" t="s">
        <v>167</v>
      </c>
      <c r="G4" s="116"/>
      <c r="H4" s="116"/>
    </row>
    <row r="5" spans="1:8" x14ac:dyDescent="0.25">
      <c r="A5" s="104" t="s">
        <v>153</v>
      </c>
      <c r="B5" s="109">
        <f>TRUNC('PRINCIPAL - Módulos 1 a 6'!D119,2)</f>
        <v>5013.4399999999996</v>
      </c>
      <c r="C5" s="110">
        <f>TRUNC(B5*12,2)</f>
        <v>60161.279999999999</v>
      </c>
    </row>
    <row r="6" spans="1:8" x14ac:dyDescent="0.25">
      <c r="A6" s="104" t="s">
        <v>152</v>
      </c>
      <c r="B6" s="109">
        <f>TRUNC('DIÁRIAS - Módulo 7'!C27,2)</f>
        <v>3653.86</v>
      </c>
      <c r="C6" s="110">
        <f>TRUNC(B6*12,2)</f>
        <v>43846.32</v>
      </c>
    </row>
    <row r="7" spans="1:8" x14ac:dyDescent="0.25">
      <c r="A7" s="106" t="s">
        <v>168</v>
      </c>
      <c r="B7" s="114">
        <f>TRUNC(SUM(B5:B6),2)</f>
        <v>8667.2999999999993</v>
      </c>
      <c r="C7" s="115">
        <f>TRUNC(B7*12,2)</f>
        <v>104007.6</v>
      </c>
      <c r="D7" s="113"/>
      <c r="E7" s="113"/>
    </row>
    <row r="8" spans="1:8" ht="15.75" thickBot="1" x14ac:dyDescent="0.3">
      <c r="A8" s="105" t="str">
        <f>"Total (Custos Fixos + Custos Variáveis) - "&amp;'PRINCIPAL - Módulos 1 a 6'!D10&amp;" Postos de Trabalho"</f>
        <v>Total (Custos Fixos + Custos Variáveis) - 8 Postos de Trabalho</v>
      </c>
      <c r="B8" s="111">
        <f>TRUNC(B7*8,2)</f>
        <v>69338.399999999994</v>
      </c>
      <c r="C8" s="112">
        <f>TRUNC(B8*12,2)</f>
        <v>832060.8</v>
      </c>
    </row>
    <row r="10" spans="1:8" x14ac:dyDescent="0.25">
      <c r="D10" s="113"/>
      <c r="E10" s="113"/>
    </row>
  </sheetData>
  <mergeCells count="2">
    <mergeCell ref="A3:C3"/>
    <mergeCell ref="A1:C1"/>
  </mergeCells>
  <pageMargins left="0.511811024" right="0.511811024" top="0.78740157499999996" bottom="0.78740157499999996" header="0.31496062000000002" footer="0.31496062000000002"/>
  <pageSetup paperSize="9" scale="9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19"/>
  <sheetViews>
    <sheetView showGridLines="0" topLeftCell="A88" zoomScaleNormal="100" workbookViewId="0">
      <selection activeCell="D119" sqref="D119"/>
    </sheetView>
  </sheetViews>
  <sheetFormatPr defaultRowHeight="15" x14ac:dyDescent="0.25"/>
  <cols>
    <col min="1" max="1" width="3.7109375" style="10" bestFit="1" customWidth="1"/>
    <col min="2" max="2" width="82.7109375" style="10" bestFit="1" customWidth="1"/>
    <col min="3" max="3" width="9.7109375" style="53" bestFit="1" customWidth="1"/>
    <col min="4" max="4" width="18.42578125" style="53" bestFit="1" customWidth="1"/>
    <col min="5" max="5" width="12.7109375" bestFit="1" customWidth="1"/>
  </cols>
  <sheetData>
    <row r="1" spans="1:4" ht="19.5" customHeight="1" thickBot="1" x14ac:dyDescent="0.3">
      <c r="A1" s="153" t="s">
        <v>154</v>
      </c>
      <c r="B1" s="154"/>
      <c r="C1" s="154"/>
      <c r="D1" s="155"/>
    </row>
    <row r="2" spans="1:4" ht="18.75" customHeight="1" x14ac:dyDescent="0.25">
      <c r="A2" s="134" t="s">
        <v>0</v>
      </c>
      <c r="B2" s="135"/>
      <c r="C2" s="135"/>
      <c r="D2" s="136"/>
    </row>
    <row r="3" spans="1:4" x14ac:dyDescent="0.25">
      <c r="A3" s="137" t="s">
        <v>1</v>
      </c>
      <c r="B3" s="138"/>
      <c r="C3" s="138"/>
      <c r="D3" s="139"/>
    </row>
    <row r="4" spans="1:4" x14ac:dyDescent="0.25">
      <c r="A4" s="140" t="s">
        <v>2</v>
      </c>
      <c r="B4" s="141"/>
      <c r="C4" s="141"/>
      <c r="D4" s="142"/>
    </row>
    <row r="5" spans="1:4" x14ac:dyDescent="0.25">
      <c r="A5" s="143" t="s">
        <v>3</v>
      </c>
      <c r="B5" s="144"/>
      <c r="C5" s="145"/>
      <c r="D5" s="71"/>
    </row>
    <row r="6" spans="1:4" x14ac:dyDescent="0.25">
      <c r="A6" s="143" t="s">
        <v>4</v>
      </c>
      <c r="B6" s="144"/>
      <c r="C6" s="145"/>
      <c r="D6" s="72" t="s">
        <v>5</v>
      </c>
    </row>
    <row r="7" spans="1:4" x14ac:dyDescent="0.25">
      <c r="A7" s="143" t="s">
        <v>6</v>
      </c>
      <c r="B7" s="144"/>
      <c r="C7" s="145"/>
      <c r="D7" s="72" t="s">
        <v>171</v>
      </c>
    </row>
    <row r="8" spans="1:4" x14ac:dyDescent="0.25">
      <c r="A8" s="143" t="s">
        <v>7</v>
      </c>
      <c r="B8" s="144"/>
      <c r="C8" s="145"/>
      <c r="D8" s="72" t="s">
        <v>8</v>
      </c>
    </row>
    <row r="9" spans="1:4" x14ac:dyDescent="0.25">
      <c r="A9" s="143" t="s">
        <v>9</v>
      </c>
      <c r="B9" s="144"/>
      <c r="C9" s="145"/>
      <c r="D9" s="72" t="s">
        <v>10</v>
      </c>
    </row>
    <row r="10" spans="1:4" x14ac:dyDescent="0.25">
      <c r="A10" s="143" t="s">
        <v>157</v>
      </c>
      <c r="B10" s="144"/>
      <c r="C10" s="145"/>
      <c r="D10" s="72">
        <v>8</v>
      </c>
    </row>
    <row r="11" spans="1:4" x14ac:dyDescent="0.25">
      <c r="A11" s="143" t="s">
        <v>11</v>
      </c>
      <c r="B11" s="144"/>
      <c r="C11" s="145"/>
      <c r="D11" s="72">
        <v>12</v>
      </c>
    </row>
    <row r="12" spans="1:4" x14ac:dyDescent="0.25">
      <c r="A12" s="143" t="s">
        <v>12</v>
      </c>
      <c r="B12" s="144"/>
      <c r="C12" s="145"/>
      <c r="D12" s="72"/>
    </row>
    <row r="13" spans="1:4" x14ac:dyDescent="0.25">
      <c r="A13" s="143" t="s">
        <v>13</v>
      </c>
      <c r="B13" s="144"/>
      <c r="C13" s="145"/>
      <c r="D13" s="72"/>
    </row>
    <row r="14" spans="1:4" x14ac:dyDescent="0.25">
      <c r="A14" s="73"/>
      <c r="B14" s="56"/>
      <c r="C14" s="56"/>
      <c r="D14" s="74"/>
    </row>
    <row r="15" spans="1:4" x14ac:dyDescent="0.25">
      <c r="A15" s="140" t="s">
        <v>14</v>
      </c>
      <c r="B15" s="141"/>
      <c r="C15" s="141"/>
      <c r="D15" s="142"/>
    </row>
    <row r="16" spans="1:4" x14ac:dyDescent="0.25">
      <c r="A16" s="9">
        <v>1</v>
      </c>
      <c r="B16" s="1" t="s">
        <v>15</v>
      </c>
      <c r="C16" s="1"/>
      <c r="D16" s="72" t="s">
        <v>8</v>
      </c>
    </row>
    <row r="17" spans="1:4" x14ac:dyDescent="0.25">
      <c r="A17" s="9">
        <v>2</v>
      </c>
      <c r="B17" s="1" t="s">
        <v>16</v>
      </c>
      <c r="C17" s="1"/>
      <c r="D17" s="72" t="s">
        <v>17</v>
      </c>
    </row>
    <row r="18" spans="1:4" x14ac:dyDescent="0.25">
      <c r="A18" s="9">
        <v>3</v>
      </c>
      <c r="B18" s="1" t="s">
        <v>18</v>
      </c>
      <c r="C18" s="1"/>
      <c r="D18" s="75">
        <v>1879.18</v>
      </c>
    </row>
    <row r="19" spans="1:4" x14ac:dyDescent="0.25">
      <c r="A19" s="9">
        <v>4</v>
      </c>
      <c r="B19" s="1" t="s">
        <v>19</v>
      </c>
      <c r="C19" s="1"/>
      <c r="D19" s="72" t="s">
        <v>20</v>
      </c>
    </row>
    <row r="20" spans="1:4" x14ac:dyDescent="0.25">
      <c r="A20" s="9">
        <v>5</v>
      </c>
      <c r="B20" s="1" t="s">
        <v>21</v>
      </c>
      <c r="C20" s="1"/>
      <c r="D20" s="71">
        <v>45292</v>
      </c>
    </row>
    <row r="21" spans="1:4" x14ac:dyDescent="0.25">
      <c r="A21" s="148"/>
      <c r="B21" s="149"/>
      <c r="C21" s="149"/>
      <c r="D21" s="150"/>
    </row>
    <row r="22" spans="1:4" x14ac:dyDescent="0.25">
      <c r="A22" s="130" t="s">
        <v>22</v>
      </c>
      <c r="B22" s="131"/>
      <c r="C22" s="131"/>
      <c r="D22" s="132"/>
    </row>
    <row r="23" spans="1:4" x14ac:dyDescent="0.25">
      <c r="A23" s="8">
        <v>1</v>
      </c>
      <c r="B23" s="3" t="s">
        <v>23</v>
      </c>
      <c r="C23" s="41" t="s">
        <v>24</v>
      </c>
      <c r="D23" s="76" t="s">
        <v>25</v>
      </c>
    </row>
    <row r="24" spans="1:4" x14ac:dyDescent="0.25">
      <c r="A24" s="8" t="s">
        <v>26</v>
      </c>
      <c r="B24" s="1" t="s">
        <v>27</v>
      </c>
      <c r="C24" s="42"/>
      <c r="D24" s="77">
        <f>D18</f>
        <v>1879.18</v>
      </c>
    </row>
    <row r="25" spans="1:4" x14ac:dyDescent="0.25">
      <c r="A25" s="8" t="s">
        <v>28</v>
      </c>
      <c r="B25" s="1" t="s">
        <v>29</v>
      </c>
      <c r="C25" s="43">
        <v>0.3</v>
      </c>
      <c r="D25" s="54">
        <v>0</v>
      </c>
    </row>
    <row r="26" spans="1:4" x14ac:dyDescent="0.25">
      <c r="A26" s="8" t="s">
        <v>30</v>
      </c>
      <c r="B26" s="1" t="s">
        <v>31</v>
      </c>
      <c r="C26" s="43" t="s">
        <v>32</v>
      </c>
      <c r="D26" s="54">
        <v>0</v>
      </c>
    </row>
    <row r="27" spans="1:4" x14ac:dyDescent="0.25">
      <c r="A27" s="8" t="s">
        <v>33</v>
      </c>
      <c r="B27" s="1" t="s">
        <v>34</v>
      </c>
      <c r="C27" s="43">
        <v>0.2</v>
      </c>
      <c r="D27" s="54">
        <v>0</v>
      </c>
    </row>
    <row r="28" spans="1:4" x14ac:dyDescent="0.25">
      <c r="A28" s="8" t="s">
        <v>35</v>
      </c>
      <c r="B28" s="1" t="s">
        <v>36</v>
      </c>
      <c r="C28" s="44"/>
      <c r="D28" s="54">
        <v>0</v>
      </c>
    </row>
    <row r="29" spans="1:4" x14ac:dyDescent="0.25">
      <c r="A29" s="8" t="s">
        <v>37</v>
      </c>
      <c r="B29" s="1" t="s">
        <v>38</v>
      </c>
      <c r="C29" s="44"/>
      <c r="D29" s="54">
        <v>0</v>
      </c>
    </row>
    <row r="30" spans="1:4" x14ac:dyDescent="0.25">
      <c r="A30" s="8" t="s">
        <v>39</v>
      </c>
      <c r="B30" s="1" t="s">
        <v>40</v>
      </c>
      <c r="C30" s="43"/>
      <c r="D30" s="54">
        <v>0</v>
      </c>
    </row>
    <row r="31" spans="1:4" x14ac:dyDescent="0.25">
      <c r="A31" s="123" t="s">
        <v>41</v>
      </c>
      <c r="B31" s="124"/>
      <c r="C31" s="3"/>
      <c r="D31" s="78">
        <f>TRUNC(SUM(D24:D30),2)</f>
        <v>1879.18</v>
      </c>
    </row>
    <row r="32" spans="1:4" x14ac:dyDescent="0.25">
      <c r="A32" s="123"/>
      <c r="B32" s="151"/>
      <c r="C32" s="151"/>
      <c r="D32" s="152"/>
    </row>
    <row r="33" spans="1:7" x14ac:dyDescent="0.25">
      <c r="A33" s="130" t="s">
        <v>42</v>
      </c>
      <c r="B33" s="131"/>
      <c r="C33" s="131"/>
      <c r="D33" s="132"/>
    </row>
    <row r="34" spans="1:7" x14ac:dyDescent="0.25">
      <c r="A34" s="123" t="s">
        <v>43</v>
      </c>
      <c r="B34" s="124"/>
      <c r="C34" s="41" t="s">
        <v>24</v>
      </c>
      <c r="D34" s="76" t="s">
        <v>25</v>
      </c>
    </row>
    <row r="35" spans="1:7" x14ac:dyDescent="0.25">
      <c r="A35" s="8" t="s">
        <v>26</v>
      </c>
      <c r="B35" s="1" t="s">
        <v>91</v>
      </c>
      <c r="C35" s="45">
        <v>8.3299999999999999E-2</v>
      </c>
      <c r="D35" s="54">
        <f>$D$31*C35</f>
        <v>156.53569400000001</v>
      </c>
    </row>
    <row r="36" spans="1:7" x14ac:dyDescent="0.25">
      <c r="A36" s="8" t="s">
        <v>28</v>
      </c>
      <c r="B36" s="1" t="s">
        <v>108</v>
      </c>
      <c r="C36" s="45">
        <v>2.7799999999999998E-2</v>
      </c>
      <c r="D36" s="54">
        <f>C36*D31</f>
        <v>52.241203999999996</v>
      </c>
      <c r="E36" s="39"/>
      <c r="F36" s="39"/>
      <c r="G36" s="40"/>
    </row>
    <row r="37" spans="1:7" x14ac:dyDescent="0.25">
      <c r="A37" s="123" t="s">
        <v>44</v>
      </c>
      <c r="B37" s="124"/>
      <c r="C37" s="46">
        <f>TRUNC(SUM(C35:C36),4)</f>
        <v>0.1111</v>
      </c>
      <c r="D37" s="79">
        <f>TRUNC(SUM(D35:D36),2)</f>
        <v>208.77</v>
      </c>
    </row>
    <row r="38" spans="1:7" x14ac:dyDescent="0.25">
      <c r="A38" s="125"/>
      <c r="B38" s="126"/>
      <c r="C38" s="126"/>
      <c r="D38" s="127"/>
    </row>
    <row r="39" spans="1:7" x14ac:dyDescent="0.25">
      <c r="A39" s="123" t="s">
        <v>45</v>
      </c>
      <c r="B39" s="124"/>
      <c r="C39" s="41" t="s">
        <v>24</v>
      </c>
      <c r="D39" s="76" t="s">
        <v>25</v>
      </c>
    </row>
    <row r="40" spans="1:7" x14ac:dyDescent="0.25">
      <c r="A40" s="8" t="s">
        <v>26</v>
      </c>
      <c r="B40" s="1" t="s">
        <v>46</v>
      </c>
      <c r="C40" s="47">
        <v>0.2</v>
      </c>
      <c r="D40" s="54">
        <f>($D$31+$D$37)*C40</f>
        <v>417.59000000000009</v>
      </c>
    </row>
    <row r="41" spans="1:7" x14ac:dyDescent="0.25">
      <c r="A41" s="8" t="s">
        <v>28</v>
      </c>
      <c r="B41" s="1" t="s">
        <v>47</v>
      </c>
      <c r="C41" s="47">
        <v>2.5000000000000001E-2</v>
      </c>
      <c r="D41" s="54">
        <f t="shared" ref="D41:D47" si="0">($D$31+$D$37)*C41</f>
        <v>52.198750000000011</v>
      </c>
    </row>
    <row r="42" spans="1:7" ht="30" customHeight="1" x14ac:dyDescent="0.25">
      <c r="A42" s="8" t="s">
        <v>30</v>
      </c>
      <c r="B42" s="55" t="s">
        <v>109</v>
      </c>
      <c r="C42" s="45">
        <v>0.02</v>
      </c>
      <c r="D42" s="54">
        <f>($D$31+$D$37)*C42</f>
        <v>41.759000000000007</v>
      </c>
    </row>
    <row r="43" spans="1:7" x14ac:dyDescent="0.25">
      <c r="A43" s="8" t="s">
        <v>33</v>
      </c>
      <c r="B43" s="1" t="s">
        <v>48</v>
      </c>
      <c r="C43" s="47">
        <v>1.4999999999999999E-2</v>
      </c>
      <c r="D43" s="54">
        <f t="shared" si="0"/>
        <v>31.319250000000004</v>
      </c>
    </row>
    <row r="44" spans="1:7" x14ac:dyDescent="0.25">
      <c r="A44" s="8" t="s">
        <v>35</v>
      </c>
      <c r="B44" s="1" t="s">
        <v>49</v>
      </c>
      <c r="C44" s="47">
        <v>0.01</v>
      </c>
      <c r="D44" s="54">
        <f t="shared" si="0"/>
        <v>20.879500000000004</v>
      </c>
    </row>
    <row r="45" spans="1:7" x14ac:dyDescent="0.25">
      <c r="A45" s="8" t="s">
        <v>37</v>
      </c>
      <c r="B45" s="1" t="s">
        <v>50</v>
      </c>
      <c r="C45" s="47">
        <v>6.0000000000000001E-3</v>
      </c>
      <c r="D45" s="54">
        <f t="shared" si="0"/>
        <v>12.527700000000001</v>
      </c>
    </row>
    <row r="46" spans="1:7" x14ac:dyDescent="0.25">
      <c r="A46" s="8" t="s">
        <v>39</v>
      </c>
      <c r="B46" s="1" t="s">
        <v>51</v>
      </c>
      <c r="C46" s="47">
        <v>2E-3</v>
      </c>
      <c r="D46" s="54">
        <f t="shared" si="0"/>
        <v>4.1759000000000004</v>
      </c>
    </row>
    <row r="47" spans="1:7" x14ac:dyDescent="0.25">
      <c r="A47" s="8" t="s">
        <v>52</v>
      </c>
      <c r="B47" s="1" t="s">
        <v>53</v>
      </c>
      <c r="C47" s="47">
        <v>0.08</v>
      </c>
      <c r="D47" s="54">
        <f t="shared" si="0"/>
        <v>167.03600000000003</v>
      </c>
    </row>
    <row r="48" spans="1:7" x14ac:dyDescent="0.25">
      <c r="A48" s="123" t="s">
        <v>54</v>
      </c>
      <c r="B48" s="124"/>
      <c r="C48" s="46">
        <f>SUM(C40:C47)</f>
        <v>0.35800000000000004</v>
      </c>
      <c r="D48" s="79">
        <f>TRUNC(SUM(D40:D47),2)</f>
        <v>747.48</v>
      </c>
    </row>
    <row r="49" spans="1:4" x14ac:dyDescent="0.25">
      <c r="A49" s="125"/>
      <c r="B49" s="126"/>
      <c r="C49" s="126"/>
      <c r="D49" s="127"/>
    </row>
    <row r="50" spans="1:4" x14ac:dyDescent="0.25">
      <c r="A50" s="123" t="s">
        <v>55</v>
      </c>
      <c r="B50" s="124"/>
      <c r="C50" s="46"/>
      <c r="D50" s="76" t="s">
        <v>25</v>
      </c>
    </row>
    <row r="51" spans="1:4" x14ac:dyDescent="0.25">
      <c r="A51" s="8" t="s">
        <v>26</v>
      </c>
      <c r="B51" s="4" t="s">
        <v>111</v>
      </c>
      <c r="C51" s="48">
        <v>4</v>
      </c>
      <c r="D51" s="80">
        <f>(C51*2*22)-(D24*6%)</f>
        <v>63.249200000000002</v>
      </c>
    </row>
    <row r="52" spans="1:4" x14ac:dyDescent="0.25">
      <c r="A52" s="8" t="s">
        <v>28</v>
      </c>
      <c r="B52" s="4" t="s">
        <v>110</v>
      </c>
      <c r="C52" s="48">
        <v>440.77</v>
      </c>
      <c r="D52" s="81">
        <f>C52</f>
        <v>440.77</v>
      </c>
    </row>
    <row r="53" spans="1:4" x14ac:dyDescent="0.25">
      <c r="A53" s="8" t="s">
        <v>30</v>
      </c>
      <c r="B53" s="4" t="s">
        <v>56</v>
      </c>
      <c r="C53" s="49"/>
      <c r="D53" s="81">
        <v>5.4</v>
      </c>
    </row>
    <row r="54" spans="1:4" x14ac:dyDescent="0.25">
      <c r="A54" s="8" t="s">
        <v>30</v>
      </c>
      <c r="B54" s="4" t="s">
        <v>57</v>
      </c>
      <c r="C54" s="48"/>
      <c r="D54" s="80">
        <v>48.8</v>
      </c>
    </row>
    <row r="55" spans="1:4" x14ac:dyDescent="0.25">
      <c r="A55" s="123" t="s">
        <v>58</v>
      </c>
      <c r="B55" s="124"/>
      <c r="C55" s="3"/>
      <c r="D55" s="79">
        <f>TRUNC(SUM(D51:D54),2)</f>
        <v>558.21</v>
      </c>
    </row>
    <row r="56" spans="1:4" x14ac:dyDescent="0.25">
      <c r="A56" s="125"/>
      <c r="B56" s="126"/>
      <c r="C56" s="126"/>
      <c r="D56" s="127"/>
    </row>
    <row r="57" spans="1:4" x14ac:dyDescent="0.25">
      <c r="A57" s="128" t="s">
        <v>59</v>
      </c>
      <c r="B57" s="129"/>
      <c r="C57" s="5"/>
      <c r="D57" s="82"/>
    </row>
    <row r="58" spans="1:4" x14ac:dyDescent="0.25">
      <c r="A58" s="123" t="s">
        <v>60</v>
      </c>
      <c r="B58" s="124"/>
      <c r="C58" s="3"/>
      <c r="D58" s="76" t="s">
        <v>25</v>
      </c>
    </row>
    <row r="59" spans="1:4" x14ac:dyDescent="0.25">
      <c r="A59" s="8" t="s">
        <v>61</v>
      </c>
      <c r="B59" s="1" t="s">
        <v>62</v>
      </c>
      <c r="C59" s="1"/>
      <c r="D59" s="54">
        <f>D37</f>
        <v>208.77</v>
      </c>
    </row>
    <row r="60" spans="1:4" x14ac:dyDescent="0.25">
      <c r="A60" s="8" t="s">
        <v>63</v>
      </c>
      <c r="B60" s="1" t="s">
        <v>64</v>
      </c>
      <c r="C60" s="1"/>
      <c r="D60" s="54">
        <f>D48</f>
        <v>747.48</v>
      </c>
    </row>
    <row r="61" spans="1:4" x14ac:dyDescent="0.25">
      <c r="A61" s="8" t="s">
        <v>65</v>
      </c>
      <c r="B61" s="1" t="s">
        <v>66</v>
      </c>
      <c r="C61" s="1"/>
      <c r="D61" s="54">
        <f>D55</f>
        <v>558.21</v>
      </c>
    </row>
    <row r="62" spans="1:4" x14ac:dyDescent="0.25">
      <c r="A62" s="123" t="s">
        <v>67</v>
      </c>
      <c r="B62" s="124"/>
      <c r="C62" s="3"/>
      <c r="D62" s="79">
        <f>TRUNC(SUM(D59:D61),2)</f>
        <v>1514.46</v>
      </c>
    </row>
    <row r="63" spans="1:4" x14ac:dyDescent="0.25">
      <c r="A63" s="125"/>
      <c r="B63" s="126"/>
      <c r="C63" s="126"/>
      <c r="D63" s="127"/>
    </row>
    <row r="64" spans="1:4" x14ac:dyDescent="0.25">
      <c r="A64" s="130" t="s">
        <v>68</v>
      </c>
      <c r="B64" s="161"/>
      <c r="C64" s="2"/>
      <c r="D64" s="83"/>
    </row>
    <row r="65" spans="1:4" x14ac:dyDescent="0.25">
      <c r="A65" s="8">
        <v>3</v>
      </c>
      <c r="B65" s="3" t="s">
        <v>69</v>
      </c>
      <c r="C65" s="41" t="s">
        <v>24</v>
      </c>
      <c r="D65" s="76" t="s">
        <v>25</v>
      </c>
    </row>
    <row r="66" spans="1:4" x14ac:dyDescent="0.25">
      <c r="A66" s="8" t="s">
        <v>26</v>
      </c>
      <c r="B66" s="1" t="s">
        <v>70</v>
      </c>
      <c r="C66" s="45">
        <v>4.1999999999999997E-3</v>
      </c>
      <c r="D66" s="54">
        <f>$D$31*C66</f>
        <v>7.8925559999999999</v>
      </c>
    </row>
    <row r="67" spans="1:4" x14ac:dyDescent="0.25">
      <c r="A67" s="8" t="s">
        <v>28</v>
      </c>
      <c r="B67" s="1" t="s">
        <v>71</v>
      </c>
      <c r="C67" s="45">
        <f>0.08*C66</f>
        <v>3.3599999999999998E-4</v>
      </c>
      <c r="D67" s="54">
        <f>C67*D31</f>
        <v>0.63140447999999993</v>
      </c>
    </row>
    <row r="68" spans="1:4" x14ac:dyDescent="0.25">
      <c r="A68" s="8" t="s">
        <v>30</v>
      </c>
      <c r="B68" s="1" t="s">
        <v>72</v>
      </c>
      <c r="C68" s="45">
        <v>9.5999999999999992E-3</v>
      </c>
      <c r="D68" s="54">
        <f>$D$31*C68</f>
        <v>18.040127999999999</v>
      </c>
    </row>
    <row r="69" spans="1:4" x14ac:dyDescent="0.25">
      <c r="A69" s="8" t="s">
        <v>33</v>
      </c>
      <c r="B69" s="1" t="s">
        <v>73</v>
      </c>
      <c r="C69" s="45">
        <v>1.9400000000000001E-2</v>
      </c>
      <c r="D69" s="54">
        <f>$D$31*C69</f>
        <v>36.456092000000005</v>
      </c>
    </row>
    <row r="70" spans="1:4" x14ac:dyDescent="0.25">
      <c r="A70" s="8" t="s">
        <v>35</v>
      </c>
      <c r="B70" s="1" t="s">
        <v>74</v>
      </c>
      <c r="C70" s="45">
        <f>C48*C69</f>
        <v>6.9452000000000012E-3</v>
      </c>
      <c r="D70" s="54">
        <f t="shared" ref="D70:D71" si="1">$D$31*C70</f>
        <v>13.051280936000003</v>
      </c>
    </row>
    <row r="71" spans="1:4" x14ac:dyDescent="0.25">
      <c r="A71" s="8" t="s">
        <v>37</v>
      </c>
      <c r="B71" s="1" t="s">
        <v>75</v>
      </c>
      <c r="C71" s="45">
        <v>3.04E-2</v>
      </c>
      <c r="D71" s="54">
        <f t="shared" si="1"/>
        <v>57.127071999999998</v>
      </c>
    </row>
    <row r="72" spans="1:4" x14ac:dyDescent="0.25">
      <c r="A72" s="123" t="s">
        <v>76</v>
      </c>
      <c r="B72" s="124"/>
      <c r="C72" s="46">
        <f>TRUNC(SUM(C66:C71),4)</f>
        <v>7.0800000000000002E-2</v>
      </c>
      <c r="D72" s="79">
        <f>TRUNC(SUM(D66:D71),2)</f>
        <v>133.19</v>
      </c>
    </row>
    <row r="73" spans="1:4" x14ac:dyDescent="0.25">
      <c r="A73" s="123"/>
      <c r="B73" s="151"/>
      <c r="C73" s="151"/>
      <c r="D73" s="152"/>
    </row>
    <row r="74" spans="1:4" ht="15" customHeight="1" x14ac:dyDescent="0.25">
      <c r="A74" s="130" t="s">
        <v>77</v>
      </c>
      <c r="B74" s="131"/>
      <c r="C74" s="131"/>
      <c r="D74" s="132"/>
    </row>
    <row r="75" spans="1:4" ht="15" customHeight="1" x14ac:dyDescent="0.25">
      <c r="A75" s="164" t="s">
        <v>117</v>
      </c>
      <c r="B75" s="165"/>
      <c r="C75" s="166"/>
      <c r="D75" s="84" t="s">
        <v>25</v>
      </c>
    </row>
    <row r="76" spans="1:4" ht="15" customHeight="1" x14ac:dyDescent="0.25">
      <c r="A76" s="146" t="s">
        <v>112</v>
      </c>
      <c r="B76" s="147"/>
      <c r="C76" s="99"/>
      <c r="D76" s="85">
        <f>D18</f>
        <v>1879.18</v>
      </c>
    </row>
    <row r="77" spans="1:4" ht="15" customHeight="1" x14ac:dyDescent="0.25">
      <c r="A77" s="146" t="s">
        <v>113</v>
      </c>
      <c r="B77" s="147"/>
      <c r="C77" s="99"/>
      <c r="D77" s="85">
        <f>D62</f>
        <v>1514.46</v>
      </c>
    </row>
    <row r="78" spans="1:4" ht="15" customHeight="1" x14ac:dyDescent="0.25">
      <c r="A78" s="146" t="s">
        <v>114</v>
      </c>
      <c r="B78" s="147"/>
      <c r="C78" s="99"/>
      <c r="D78" s="85">
        <f>1/12*D31*(1+C48)</f>
        <v>212.66053666666667</v>
      </c>
    </row>
    <row r="79" spans="1:4" ht="15" customHeight="1" x14ac:dyDescent="0.25">
      <c r="A79" s="146" t="s">
        <v>115</v>
      </c>
      <c r="B79" s="147"/>
      <c r="C79" s="99"/>
      <c r="D79" s="85">
        <f>-D52</f>
        <v>-440.77</v>
      </c>
    </row>
    <row r="80" spans="1:4" ht="15" customHeight="1" x14ac:dyDescent="0.25">
      <c r="A80" s="146" t="s">
        <v>116</v>
      </c>
      <c r="B80" s="147"/>
      <c r="C80" s="99"/>
      <c r="D80" s="85">
        <f>D72</f>
        <v>133.19</v>
      </c>
    </row>
    <row r="81" spans="1:5" ht="15" customHeight="1" x14ac:dyDescent="0.25">
      <c r="A81" s="162" t="s">
        <v>118</v>
      </c>
      <c r="B81" s="163"/>
      <c r="C81" s="41"/>
      <c r="D81" s="86">
        <f>TRUNC(SUM(D76:D80),2)</f>
        <v>3298.72</v>
      </c>
      <c r="E81" s="12"/>
    </row>
    <row r="82" spans="1:5" x14ac:dyDescent="0.25">
      <c r="A82" s="97"/>
      <c r="B82" s="98"/>
      <c r="C82" s="50"/>
      <c r="D82" s="87"/>
    </row>
    <row r="83" spans="1:5" x14ac:dyDescent="0.25">
      <c r="A83" s="123" t="s">
        <v>78</v>
      </c>
      <c r="B83" s="124"/>
      <c r="C83" s="41" t="s">
        <v>24</v>
      </c>
      <c r="D83" s="76" t="s">
        <v>25</v>
      </c>
    </row>
    <row r="84" spans="1:5" x14ac:dyDescent="0.25">
      <c r="A84" s="8" t="s">
        <v>26</v>
      </c>
      <c r="B84" s="1" t="s">
        <v>120</v>
      </c>
      <c r="C84" s="45">
        <v>8.3330000000000001E-2</v>
      </c>
      <c r="D84" s="54">
        <f>$D$81*C84</f>
        <v>274.88233759999997</v>
      </c>
    </row>
    <row r="85" spans="1:5" x14ac:dyDescent="0.25">
      <c r="A85" s="8" t="s">
        <v>28</v>
      </c>
      <c r="B85" s="1" t="s">
        <v>122</v>
      </c>
      <c r="C85" s="45">
        <v>4.15E-3</v>
      </c>
      <c r="D85" s="54">
        <f t="shared" ref="D85:D89" si="2">$D$81*C85</f>
        <v>13.689687999999999</v>
      </c>
    </row>
    <row r="86" spans="1:5" x14ac:dyDescent="0.25">
      <c r="A86" s="8" t="s">
        <v>30</v>
      </c>
      <c r="B86" s="1" t="s">
        <v>124</v>
      </c>
      <c r="C86" s="45">
        <v>2.0000000000000001E-4</v>
      </c>
      <c r="D86" s="54">
        <f t="shared" si="2"/>
        <v>0.659744</v>
      </c>
    </row>
    <row r="87" spans="1:5" x14ac:dyDescent="0.25">
      <c r="A87" s="8" t="s">
        <v>33</v>
      </c>
      <c r="B87" s="1" t="s">
        <v>121</v>
      </c>
      <c r="C87" s="45">
        <v>5.1000000000000004E-4</v>
      </c>
      <c r="D87" s="54">
        <f t="shared" si="2"/>
        <v>1.6823471999999999</v>
      </c>
    </row>
    <row r="88" spans="1:5" x14ac:dyDescent="0.25">
      <c r="A88" s="8" t="s">
        <v>35</v>
      </c>
      <c r="B88" s="1" t="s">
        <v>119</v>
      </c>
      <c r="C88" s="45">
        <v>1.1100000000000001E-3</v>
      </c>
      <c r="D88" s="54">
        <f t="shared" si="2"/>
        <v>3.6615792000000003</v>
      </c>
    </row>
    <row r="89" spans="1:5" x14ac:dyDescent="0.25">
      <c r="A89" s="8" t="s">
        <v>37</v>
      </c>
      <c r="B89" s="1" t="s">
        <v>123</v>
      </c>
      <c r="C89" s="45">
        <v>3.8999999999999999E-4</v>
      </c>
      <c r="D89" s="54">
        <f t="shared" si="2"/>
        <v>1.2865008</v>
      </c>
    </row>
    <row r="90" spans="1:5" x14ac:dyDescent="0.25">
      <c r="A90" s="123" t="s">
        <v>125</v>
      </c>
      <c r="B90" s="124"/>
      <c r="C90" s="46">
        <f>TRUNC(SUM(C84:C89),4)</f>
        <v>8.9599999999999999E-2</v>
      </c>
      <c r="D90" s="79">
        <f>TRUNC(SUM(D84:D89),2)</f>
        <v>295.86</v>
      </c>
    </row>
    <row r="91" spans="1:5" x14ac:dyDescent="0.25">
      <c r="A91" s="6"/>
      <c r="B91" s="7"/>
      <c r="C91" s="7"/>
      <c r="D91" s="88"/>
    </row>
    <row r="92" spans="1:5" x14ac:dyDescent="0.25">
      <c r="A92" s="130" t="s">
        <v>79</v>
      </c>
      <c r="B92" s="131"/>
      <c r="C92" s="131"/>
      <c r="D92" s="132"/>
    </row>
    <row r="93" spans="1:5" x14ac:dyDescent="0.25">
      <c r="A93" s="8">
        <v>5</v>
      </c>
      <c r="B93" s="3" t="s">
        <v>80</v>
      </c>
      <c r="C93" s="41"/>
      <c r="D93" s="76" t="s">
        <v>25</v>
      </c>
    </row>
    <row r="94" spans="1:5" x14ac:dyDescent="0.25">
      <c r="A94" s="8" t="s">
        <v>26</v>
      </c>
      <c r="B94" s="4" t="s">
        <v>81</v>
      </c>
      <c r="C94" s="49"/>
      <c r="D94" s="54">
        <f>'INSUMOS - Módulo 5'!F12</f>
        <v>121.66833333333334</v>
      </c>
    </row>
    <row r="95" spans="1:5" x14ac:dyDescent="0.25">
      <c r="A95" s="8" t="s">
        <v>28</v>
      </c>
      <c r="B95" s="4" t="s">
        <v>147</v>
      </c>
      <c r="C95" s="49"/>
      <c r="D95" s="54">
        <f>'INSUMOS - Módulo 5'!F17</f>
        <v>20.833333333333332</v>
      </c>
    </row>
    <row r="96" spans="1:5" x14ac:dyDescent="0.25">
      <c r="A96" s="123" t="s">
        <v>82</v>
      </c>
      <c r="B96" s="124"/>
      <c r="C96" s="46"/>
      <c r="D96" s="79">
        <f>TRUNC(SUM(D94:D95),2)</f>
        <v>142.5</v>
      </c>
    </row>
    <row r="97" spans="1:4" x14ac:dyDescent="0.25">
      <c r="A97" s="6"/>
      <c r="B97" s="7"/>
      <c r="C97" s="7"/>
      <c r="D97" s="88"/>
    </row>
    <row r="98" spans="1:4" x14ac:dyDescent="0.25">
      <c r="A98" s="130" t="s">
        <v>83</v>
      </c>
      <c r="B98" s="131"/>
      <c r="C98" s="131"/>
      <c r="D98" s="132"/>
    </row>
    <row r="99" spans="1:4" x14ac:dyDescent="0.25">
      <c r="A99" s="8">
        <v>6</v>
      </c>
      <c r="B99" s="3" t="s">
        <v>84</v>
      </c>
      <c r="C99" s="41" t="s">
        <v>24</v>
      </c>
      <c r="D99" s="76" t="s">
        <v>25</v>
      </c>
    </row>
    <row r="100" spans="1:4" x14ac:dyDescent="0.25">
      <c r="A100" s="9" t="s">
        <v>26</v>
      </c>
      <c r="B100" s="1" t="s">
        <v>85</v>
      </c>
      <c r="C100" s="51">
        <v>0.05</v>
      </c>
      <c r="D100" s="89">
        <f>TRUNC(C100*D117,2)</f>
        <v>198.25</v>
      </c>
    </row>
    <row r="101" spans="1:4" x14ac:dyDescent="0.25">
      <c r="A101" s="9" t="s">
        <v>28</v>
      </c>
      <c r="B101" s="133" t="s">
        <v>127</v>
      </c>
      <c r="C101" s="124"/>
      <c r="D101" s="89">
        <f>D100+D117</f>
        <v>4163.4400000000005</v>
      </c>
    </row>
    <row r="102" spans="1:4" x14ac:dyDescent="0.25">
      <c r="A102" s="9" t="s">
        <v>30</v>
      </c>
      <c r="B102" s="1" t="s">
        <v>86</v>
      </c>
      <c r="C102" s="51">
        <v>0.1</v>
      </c>
      <c r="D102" s="89">
        <f>TRUNC(C102*(D100+D117),2)</f>
        <v>416.34</v>
      </c>
    </row>
    <row r="103" spans="1:4" x14ac:dyDescent="0.25">
      <c r="A103" s="90" t="s">
        <v>33</v>
      </c>
      <c r="B103" s="133" t="s">
        <v>130</v>
      </c>
      <c r="C103" s="124"/>
      <c r="D103" s="89">
        <f>D101+D102</f>
        <v>4579.7800000000007</v>
      </c>
    </row>
    <row r="104" spans="1:4" ht="40.5" x14ac:dyDescent="0.25">
      <c r="A104" s="91" t="s">
        <v>35</v>
      </c>
      <c r="B104" s="57" t="s">
        <v>126</v>
      </c>
      <c r="C104" s="43">
        <v>8.6499999999999994E-2</v>
      </c>
      <c r="D104" s="92">
        <f>(D103/(1-C104))*C104</f>
        <v>433.66280240831975</v>
      </c>
    </row>
    <row r="105" spans="1:4" x14ac:dyDescent="0.25">
      <c r="A105" s="9" t="s">
        <v>131</v>
      </c>
      <c r="B105" s="1" t="s">
        <v>87</v>
      </c>
      <c r="C105" s="52">
        <v>0.03</v>
      </c>
      <c r="D105" s="89"/>
    </row>
    <row r="106" spans="1:4" x14ac:dyDescent="0.25">
      <c r="A106" s="9" t="s">
        <v>132</v>
      </c>
      <c r="B106" s="1" t="s">
        <v>133</v>
      </c>
      <c r="C106" s="52">
        <v>6.4999999999999997E-3</v>
      </c>
      <c r="D106" s="89"/>
    </row>
    <row r="107" spans="1:4" x14ac:dyDescent="0.25">
      <c r="A107" s="9" t="s">
        <v>134</v>
      </c>
      <c r="B107" s="1" t="s">
        <v>88</v>
      </c>
      <c r="C107" s="52">
        <v>0.05</v>
      </c>
      <c r="D107" s="89"/>
    </row>
    <row r="108" spans="1:4" x14ac:dyDescent="0.25">
      <c r="A108" s="123" t="s">
        <v>135</v>
      </c>
      <c r="B108" s="151"/>
      <c r="C108" s="124"/>
      <c r="D108" s="93">
        <f>D100+D102+D104</f>
        <v>1048.2528024083197</v>
      </c>
    </row>
    <row r="109" spans="1:4" x14ac:dyDescent="0.25">
      <c r="A109" s="94"/>
      <c r="B109" s="95"/>
      <c r="C109" s="95"/>
      <c r="D109" s="96"/>
    </row>
    <row r="110" spans="1:4" x14ac:dyDescent="0.25">
      <c r="A110" s="128" t="s">
        <v>89</v>
      </c>
      <c r="B110" s="159"/>
      <c r="C110" s="159"/>
      <c r="D110" s="160"/>
    </row>
    <row r="111" spans="1:4" x14ac:dyDescent="0.25">
      <c r="A111" s="123" t="s">
        <v>128</v>
      </c>
      <c r="B111" s="124"/>
      <c r="C111" s="3"/>
      <c r="D111" s="76" t="s">
        <v>25</v>
      </c>
    </row>
    <row r="112" spans="1:4" x14ac:dyDescent="0.25">
      <c r="A112" s="9" t="s">
        <v>26</v>
      </c>
      <c r="B112" s="1" t="str">
        <f>A22</f>
        <v>MÓDULO 1 - COMPOSIÇÃO DA REMUNERAÇÃO</v>
      </c>
      <c r="C112" s="1"/>
      <c r="D112" s="77">
        <f>D31</f>
        <v>1879.18</v>
      </c>
    </row>
    <row r="113" spans="1:4" x14ac:dyDescent="0.25">
      <c r="A113" s="9" t="s">
        <v>28</v>
      </c>
      <c r="B113" s="1" t="str">
        <f>A33</f>
        <v>MÓDULO 2 – ENCARGOS E BENEFÍCIOS ANUAIS, MENSAIS E DIÁRIOS</v>
      </c>
      <c r="C113" s="1"/>
      <c r="D113" s="77">
        <f>D62</f>
        <v>1514.46</v>
      </c>
    </row>
    <row r="114" spans="1:4" x14ac:dyDescent="0.25">
      <c r="A114" s="9" t="s">
        <v>30</v>
      </c>
      <c r="B114" s="1" t="str">
        <f>A64</f>
        <v>MÓDULO 3 – PROVISÃO PARA RESCISÃO</v>
      </c>
      <c r="C114" s="1"/>
      <c r="D114" s="77">
        <f>D72</f>
        <v>133.19</v>
      </c>
    </row>
    <row r="115" spans="1:4" x14ac:dyDescent="0.25">
      <c r="A115" s="9" t="s">
        <v>33</v>
      </c>
      <c r="B115" s="1" t="str">
        <f>A74</f>
        <v>MÓDULO 4 – CUSTO DE REPOSIÇÃO DO PROFISSIONAL AUSENTE</v>
      </c>
      <c r="C115" s="1"/>
      <c r="D115" s="77">
        <f>D90</f>
        <v>295.86</v>
      </c>
    </row>
    <row r="116" spans="1:4" x14ac:dyDescent="0.25">
      <c r="A116" s="9" t="s">
        <v>35</v>
      </c>
      <c r="B116" s="1" t="str">
        <f>A92</f>
        <v>MÓDULO 5 – INSUMOS DIVERSOS</v>
      </c>
      <c r="C116" s="1"/>
      <c r="D116" s="77">
        <f>D96</f>
        <v>142.5</v>
      </c>
    </row>
    <row r="117" spans="1:4" x14ac:dyDescent="0.25">
      <c r="A117" s="123" t="s">
        <v>129</v>
      </c>
      <c r="B117" s="151"/>
      <c r="C117" s="124"/>
      <c r="D117" s="78">
        <f>TRUNC(SUM(D112:D116),2)</f>
        <v>3965.19</v>
      </c>
    </row>
    <row r="118" spans="1:4" x14ac:dyDescent="0.25">
      <c r="A118" s="9" t="s">
        <v>37</v>
      </c>
      <c r="B118" s="1" t="str">
        <f>A98</f>
        <v>MÓDULO 6 – CUSTOS INDIRETOS, TRIBUTOS E LUCRO</v>
      </c>
      <c r="C118" s="1"/>
      <c r="D118" s="77">
        <f>D108</f>
        <v>1048.2528024083197</v>
      </c>
    </row>
    <row r="119" spans="1:4" ht="15.75" thickBot="1" x14ac:dyDescent="0.3">
      <c r="A119" s="156" t="s">
        <v>158</v>
      </c>
      <c r="B119" s="157"/>
      <c r="C119" s="158"/>
      <c r="D119" s="101">
        <f>D118+D117</f>
        <v>5013.4428024083199</v>
      </c>
    </row>
  </sheetData>
  <mergeCells count="55">
    <mergeCell ref="A1:D1"/>
    <mergeCell ref="A119:C119"/>
    <mergeCell ref="B103:C103"/>
    <mergeCell ref="A108:C108"/>
    <mergeCell ref="A110:D110"/>
    <mergeCell ref="A111:B111"/>
    <mergeCell ref="A117:C117"/>
    <mergeCell ref="A74:D74"/>
    <mergeCell ref="A64:B64"/>
    <mergeCell ref="A81:B81"/>
    <mergeCell ref="A83:B83"/>
    <mergeCell ref="A90:B90"/>
    <mergeCell ref="A75:C75"/>
    <mergeCell ref="A76:B76"/>
    <mergeCell ref="A77:B77"/>
    <mergeCell ref="A78:B78"/>
    <mergeCell ref="A79:B79"/>
    <mergeCell ref="A80:B80"/>
    <mergeCell ref="A15:D15"/>
    <mergeCell ref="A22:D22"/>
    <mergeCell ref="A33:D33"/>
    <mergeCell ref="A39:B39"/>
    <mergeCell ref="A34:B34"/>
    <mergeCell ref="A37:B37"/>
    <mergeCell ref="A31:B31"/>
    <mergeCell ref="A21:D21"/>
    <mergeCell ref="A32:D32"/>
    <mergeCell ref="A38:D38"/>
    <mergeCell ref="A63:D63"/>
    <mergeCell ref="A73:D73"/>
    <mergeCell ref="A48:B48"/>
    <mergeCell ref="A50:B50"/>
    <mergeCell ref="A96:B96"/>
    <mergeCell ref="A98:D98"/>
    <mergeCell ref="B101:C101"/>
    <mergeCell ref="A2:D2"/>
    <mergeCell ref="A3:D3"/>
    <mergeCell ref="A4:D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92:D92"/>
    <mergeCell ref="A72:B72"/>
    <mergeCell ref="A49:D49"/>
    <mergeCell ref="A55:B55"/>
    <mergeCell ref="A62:B62"/>
    <mergeCell ref="A57:B57"/>
    <mergeCell ref="A58:B58"/>
    <mergeCell ref="A56:D56"/>
  </mergeCells>
  <pageMargins left="0.511811024" right="0.511811024" top="0.78740157499999996" bottom="0.78740157499999996" header="0.31496062000000002" footer="0.31496062000000002"/>
  <pageSetup paperSize="9" scale="8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showGridLines="0" workbookViewId="0">
      <selection activeCell="A26" sqref="A26"/>
    </sheetView>
  </sheetViews>
  <sheetFormatPr defaultRowHeight="15" x14ac:dyDescent="0.25"/>
  <cols>
    <col min="1" max="1" width="42.85546875" bestFit="1" customWidth="1"/>
    <col min="2" max="6" width="15.7109375" style="60" customWidth="1"/>
  </cols>
  <sheetData>
    <row r="1" spans="1:6" ht="19.5" thickBot="1" x14ac:dyDescent="0.3">
      <c r="A1" s="180" t="s">
        <v>79</v>
      </c>
      <c r="B1" s="181"/>
      <c r="C1" s="181"/>
      <c r="D1" s="181"/>
      <c r="E1" s="181"/>
      <c r="F1" s="182"/>
    </row>
    <row r="2" spans="1:6" ht="19.5" thickBot="1" x14ac:dyDescent="0.3">
      <c r="A2" s="180" t="s">
        <v>150</v>
      </c>
      <c r="B2" s="181"/>
      <c r="C2" s="181"/>
      <c r="D2" s="181"/>
      <c r="E2" s="181"/>
      <c r="F2" s="182"/>
    </row>
    <row r="3" spans="1:6" x14ac:dyDescent="0.25">
      <c r="A3" s="169" t="s">
        <v>148</v>
      </c>
      <c r="B3" s="170"/>
      <c r="C3" s="170"/>
      <c r="D3" s="170"/>
      <c r="E3" s="170"/>
      <c r="F3" s="171"/>
    </row>
    <row r="4" spans="1:6" x14ac:dyDescent="0.25">
      <c r="A4" s="62" t="s">
        <v>90</v>
      </c>
      <c r="B4" s="32" t="s">
        <v>136</v>
      </c>
      <c r="C4" s="32" t="s">
        <v>137</v>
      </c>
      <c r="D4" s="32" t="s">
        <v>138</v>
      </c>
      <c r="E4" s="32" t="s">
        <v>144</v>
      </c>
      <c r="F4" s="34" t="s">
        <v>139</v>
      </c>
    </row>
    <row r="5" spans="1:6" x14ac:dyDescent="0.25">
      <c r="A5" s="25" t="s">
        <v>164</v>
      </c>
      <c r="B5" s="58">
        <v>5</v>
      </c>
      <c r="C5" s="58" t="s">
        <v>137</v>
      </c>
      <c r="D5" s="59">
        <v>61.1</v>
      </c>
      <c r="E5" s="61">
        <f>D5*B5</f>
        <v>305.5</v>
      </c>
      <c r="F5" s="63">
        <f>E5/12</f>
        <v>25.458333333333332</v>
      </c>
    </row>
    <row r="6" spans="1:6" x14ac:dyDescent="0.25">
      <c r="A6" s="25" t="s">
        <v>162</v>
      </c>
      <c r="B6" s="58">
        <v>5</v>
      </c>
      <c r="C6" s="58" t="s">
        <v>137</v>
      </c>
      <c r="D6" s="59">
        <v>107.5</v>
      </c>
      <c r="E6" s="61">
        <f t="shared" ref="E6:E11" si="0">D6*B6</f>
        <v>537.5</v>
      </c>
      <c r="F6" s="63">
        <f t="shared" ref="F6:F11" si="1">E6/12</f>
        <v>44.791666666666664</v>
      </c>
    </row>
    <row r="7" spans="1:6" x14ac:dyDescent="0.25">
      <c r="A7" s="25" t="s">
        <v>163</v>
      </c>
      <c r="B7" s="58">
        <v>5</v>
      </c>
      <c r="C7" s="58" t="s">
        <v>137</v>
      </c>
      <c r="D7" s="59">
        <v>28.99</v>
      </c>
      <c r="E7" s="61">
        <f t="shared" si="0"/>
        <v>144.94999999999999</v>
      </c>
      <c r="F7" s="63">
        <f t="shared" si="1"/>
        <v>12.079166666666666</v>
      </c>
    </row>
    <row r="8" spans="1:6" x14ac:dyDescent="0.25">
      <c r="A8" s="25" t="s">
        <v>165</v>
      </c>
      <c r="B8" s="58">
        <v>5</v>
      </c>
      <c r="C8" s="58" t="s">
        <v>140</v>
      </c>
      <c r="D8" s="59">
        <v>11.52</v>
      </c>
      <c r="E8" s="61">
        <f t="shared" si="0"/>
        <v>57.599999999999994</v>
      </c>
      <c r="F8" s="63">
        <f t="shared" si="1"/>
        <v>4.8</v>
      </c>
    </row>
    <row r="9" spans="1:6" x14ac:dyDescent="0.25">
      <c r="A9" s="25" t="s">
        <v>166</v>
      </c>
      <c r="B9" s="58">
        <v>2</v>
      </c>
      <c r="C9" s="58" t="s">
        <v>140</v>
      </c>
      <c r="D9" s="59">
        <v>185</v>
      </c>
      <c r="E9" s="61">
        <f t="shared" ref="E9:E10" si="2">D9*B9</f>
        <v>370</v>
      </c>
      <c r="F9" s="63">
        <f t="shared" si="1"/>
        <v>30.833333333333332</v>
      </c>
    </row>
    <row r="10" spans="1:6" x14ac:dyDescent="0.25">
      <c r="A10" s="25" t="s">
        <v>161</v>
      </c>
      <c r="B10" s="58">
        <v>1</v>
      </c>
      <c r="C10" s="58" t="s">
        <v>137</v>
      </c>
      <c r="D10" s="59">
        <v>40</v>
      </c>
      <c r="E10" s="61">
        <f t="shared" si="2"/>
        <v>40</v>
      </c>
      <c r="F10" s="63">
        <f t="shared" si="1"/>
        <v>3.3333333333333335</v>
      </c>
    </row>
    <row r="11" spans="1:6" x14ac:dyDescent="0.25">
      <c r="A11" s="25" t="s">
        <v>141</v>
      </c>
      <c r="B11" s="58">
        <v>1</v>
      </c>
      <c r="C11" s="58" t="s">
        <v>137</v>
      </c>
      <c r="D11" s="59">
        <v>4.47</v>
      </c>
      <c r="E11" s="61">
        <f t="shared" si="0"/>
        <v>4.47</v>
      </c>
      <c r="F11" s="63">
        <f t="shared" si="1"/>
        <v>0.3725</v>
      </c>
    </row>
    <row r="12" spans="1:6" ht="15.75" thickBot="1" x14ac:dyDescent="0.3">
      <c r="A12" s="172" t="s">
        <v>101</v>
      </c>
      <c r="B12" s="173"/>
      <c r="C12" s="173"/>
      <c r="D12" s="173"/>
      <c r="E12" s="64">
        <f>SUM(E5:E11)</f>
        <v>1460.02</v>
      </c>
      <c r="F12" s="65">
        <f>E12/12</f>
        <v>121.66833333333334</v>
      </c>
    </row>
    <row r="13" spans="1:6" ht="15.75" thickBot="1" x14ac:dyDescent="0.3">
      <c r="A13" s="183"/>
      <c r="B13" s="184"/>
      <c r="C13" s="184"/>
      <c r="D13" s="184"/>
      <c r="E13" s="184"/>
      <c r="F13" s="185"/>
    </row>
    <row r="14" spans="1:6" x14ac:dyDescent="0.25">
      <c r="A14" s="169" t="s">
        <v>145</v>
      </c>
      <c r="B14" s="170"/>
      <c r="C14" s="170"/>
      <c r="D14" s="170"/>
      <c r="E14" s="170"/>
      <c r="F14" s="171"/>
    </row>
    <row r="15" spans="1:6" x14ac:dyDescent="0.25">
      <c r="A15" s="62" t="s">
        <v>90</v>
      </c>
      <c r="B15" s="32" t="s">
        <v>136</v>
      </c>
      <c r="C15" s="32" t="s">
        <v>137</v>
      </c>
      <c r="D15" s="32" t="s">
        <v>138</v>
      </c>
      <c r="E15" s="32" t="s">
        <v>144</v>
      </c>
      <c r="F15" s="34" t="s">
        <v>139</v>
      </c>
    </row>
    <row r="16" spans="1:6" x14ac:dyDescent="0.25">
      <c r="A16" s="25" t="s">
        <v>145</v>
      </c>
      <c r="B16" s="58">
        <v>1</v>
      </c>
      <c r="C16" s="58" t="s">
        <v>146</v>
      </c>
      <c r="D16" s="59">
        <v>250</v>
      </c>
      <c r="E16" s="59">
        <f>D16*B16</f>
        <v>250</v>
      </c>
      <c r="F16" s="66">
        <f>E16/12</f>
        <v>20.833333333333332</v>
      </c>
    </row>
    <row r="17" spans="1:6" ht="15.75" thickBot="1" x14ac:dyDescent="0.3">
      <c r="A17" s="167" t="s">
        <v>101</v>
      </c>
      <c r="B17" s="168"/>
      <c r="C17" s="168"/>
      <c r="D17" s="168"/>
      <c r="E17" s="67">
        <f>SUM(E16)</f>
        <v>250</v>
      </c>
      <c r="F17" s="68">
        <f>SUM(F16)</f>
        <v>20.833333333333332</v>
      </c>
    </row>
    <row r="18" spans="1:6" ht="15.75" thickBot="1" x14ac:dyDescent="0.3">
      <c r="A18" s="23"/>
      <c r="B18" s="69"/>
      <c r="C18" s="69"/>
      <c r="D18" s="69"/>
      <c r="E18" s="69"/>
      <c r="F18" s="70"/>
    </row>
    <row r="19" spans="1:6" x14ac:dyDescent="0.25">
      <c r="A19" s="169" t="s">
        <v>149</v>
      </c>
      <c r="B19" s="170"/>
      <c r="C19" s="170"/>
      <c r="D19" s="170"/>
      <c r="E19" s="170"/>
      <c r="F19" s="171"/>
    </row>
    <row r="20" spans="1:6" x14ac:dyDescent="0.25">
      <c r="A20" s="177" t="s">
        <v>90</v>
      </c>
      <c r="B20" s="178"/>
      <c r="C20" s="178"/>
      <c r="D20" s="179"/>
      <c r="E20" s="32" t="s">
        <v>144</v>
      </c>
      <c r="F20" s="34" t="s">
        <v>139</v>
      </c>
    </row>
    <row r="21" spans="1:6" x14ac:dyDescent="0.25">
      <c r="A21" s="174" t="str">
        <f>A3</f>
        <v>Uniforme</v>
      </c>
      <c r="B21" s="175"/>
      <c r="C21" s="175"/>
      <c r="D21" s="176"/>
      <c r="E21" s="61">
        <f>E12</f>
        <v>1460.02</v>
      </c>
      <c r="F21" s="63">
        <f>F12</f>
        <v>121.66833333333334</v>
      </c>
    </row>
    <row r="22" spans="1:6" x14ac:dyDescent="0.25">
      <c r="A22" s="174" t="str">
        <f>A14</f>
        <v>Cetificado Digital - A3</v>
      </c>
      <c r="B22" s="175"/>
      <c r="C22" s="175"/>
      <c r="D22" s="176"/>
      <c r="E22" s="61">
        <f>E17</f>
        <v>250</v>
      </c>
      <c r="F22" s="63">
        <f>F17</f>
        <v>20.833333333333332</v>
      </c>
    </row>
    <row r="23" spans="1:6" ht="15.75" thickBot="1" x14ac:dyDescent="0.3">
      <c r="A23" s="172" t="s">
        <v>101</v>
      </c>
      <c r="B23" s="173"/>
      <c r="C23" s="173"/>
      <c r="D23" s="173"/>
      <c r="E23" s="64">
        <f>SUM(E21:E22)</f>
        <v>1710.02</v>
      </c>
      <c r="F23" s="65">
        <f>E23/12</f>
        <v>142.50166666666667</v>
      </c>
    </row>
    <row r="25" spans="1:6" x14ac:dyDescent="0.25">
      <c r="A25" s="102"/>
    </row>
  </sheetData>
  <mergeCells count="12">
    <mergeCell ref="A1:F1"/>
    <mergeCell ref="A12:D12"/>
    <mergeCell ref="A14:F14"/>
    <mergeCell ref="A13:F13"/>
    <mergeCell ref="A2:F2"/>
    <mergeCell ref="A3:F3"/>
    <mergeCell ref="A17:D17"/>
    <mergeCell ref="A19:F19"/>
    <mergeCell ref="A23:D23"/>
    <mergeCell ref="A21:D21"/>
    <mergeCell ref="A22:D22"/>
    <mergeCell ref="A20:D20"/>
  </mergeCells>
  <pageMargins left="0.511811024" right="0.511811024" top="0.78740157499999996" bottom="0.78740157499999996" header="0.31496062000000002" footer="0.31496062000000002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showGridLines="0" tabSelected="1" topLeftCell="A7" workbookViewId="0">
      <selection activeCell="C27" sqref="C27"/>
    </sheetView>
  </sheetViews>
  <sheetFormatPr defaultRowHeight="15" x14ac:dyDescent="0.25"/>
  <cols>
    <col min="1" max="1" width="61.85546875" customWidth="1"/>
    <col min="2" max="2" width="10.5703125" style="11" bestFit="1" customWidth="1"/>
    <col min="3" max="3" width="14.42578125" bestFit="1" customWidth="1"/>
    <col min="4" max="4" width="14.28515625" bestFit="1" customWidth="1"/>
  </cols>
  <sheetData>
    <row r="1" spans="1:3" ht="19.5" thickBot="1" x14ac:dyDescent="0.3">
      <c r="A1" s="153" t="s">
        <v>151</v>
      </c>
      <c r="B1" s="154"/>
      <c r="C1" s="155"/>
    </row>
    <row r="2" spans="1:3" ht="18.75" customHeight="1" thickBot="1" x14ac:dyDescent="0.3">
      <c r="A2" s="153" t="s">
        <v>160</v>
      </c>
      <c r="B2" s="154"/>
      <c r="C2" s="155"/>
    </row>
    <row r="3" spans="1:3" x14ac:dyDescent="0.25">
      <c r="A3" s="195" t="s">
        <v>99</v>
      </c>
      <c r="B3" s="196"/>
      <c r="C3" s="197"/>
    </row>
    <row r="4" spans="1:3" x14ac:dyDescent="0.25">
      <c r="A4" s="21" t="s">
        <v>92</v>
      </c>
      <c r="B4" s="19"/>
      <c r="C4" s="22">
        <v>345.08</v>
      </c>
    </row>
    <row r="5" spans="1:3" x14ac:dyDescent="0.25">
      <c r="A5" s="23"/>
      <c r="B5" s="14"/>
      <c r="C5" s="24"/>
    </row>
    <row r="6" spans="1:3" x14ac:dyDescent="0.25">
      <c r="A6" s="192" t="s">
        <v>93</v>
      </c>
      <c r="B6" s="193"/>
      <c r="C6" s="194"/>
    </row>
    <row r="7" spans="1:3" x14ac:dyDescent="0.25">
      <c r="A7" s="25" t="s">
        <v>88</v>
      </c>
      <c r="B7" s="17">
        <v>0.05</v>
      </c>
      <c r="C7" s="26">
        <f>C11*B7</f>
        <v>20.168322618351841</v>
      </c>
    </row>
    <row r="8" spans="1:3" x14ac:dyDescent="0.25">
      <c r="A8" s="25" t="s">
        <v>94</v>
      </c>
      <c r="B8" s="18">
        <v>9.4500000000000001E-2</v>
      </c>
      <c r="C8" s="26">
        <f>C11*B8</f>
        <v>38.118129748684979</v>
      </c>
    </row>
    <row r="9" spans="1:3" x14ac:dyDescent="0.25">
      <c r="A9" s="27" t="s">
        <v>101</v>
      </c>
      <c r="B9" s="20">
        <f ca="1">SUM(B7:B9)</f>
        <v>0.14450000000000002</v>
      </c>
      <c r="C9" s="28">
        <f ca="1">SUM(C7:C9)</f>
        <v>58.286452367036816</v>
      </c>
    </row>
    <row r="10" spans="1:3" x14ac:dyDescent="0.25">
      <c r="A10" s="23"/>
      <c r="B10" s="14"/>
      <c r="C10" s="24"/>
    </row>
    <row r="11" spans="1:3" ht="15.75" thickBot="1" x14ac:dyDescent="0.3">
      <c r="A11" s="29" t="s">
        <v>142</v>
      </c>
      <c r="B11" s="30"/>
      <c r="C11" s="31">
        <f>(C4/0.8555)</f>
        <v>403.3664523670368</v>
      </c>
    </row>
    <row r="12" spans="1:3" ht="15.75" thickBot="1" x14ac:dyDescent="0.3">
      <c r="A12" s="23"/>
      <c r="B12" s="14"/>
      <c r="C12" s="24"/>
    </row>
    <row r="13" spans="1:3" x14ac:dyDescent="0.25">
      <c r="A13" s="195" t="s">
        <v>100</v>
      </c>
      <c r="B13" s="196"/>
      <c r="C13" s="197"/>
    </row>
    <row r="14" spans="1:3" x14ac:dyDescent="0.25">
      <c r="A14" s="21" t="s">
        <v>92</v>
      </c>
      <c r="B14" s="19"/>
      <c r="C14" s="22">
        <v>252.8</v>
      </c>
    </row>
    <row r="15" spans="1:3" x14ac:dyDescent="0.25">
      <c r="A15" s="23"/>
      <c r="B15" s="14"/>
      <c r="C15" s="24"/>
    </row>
    <row r="16" spans="1:3" x14ac:dyDescent="0.25">
      <c r="A16" s="192" t="s">
        <v>93</v>
      </c>
      <c r="B16" s="193"/>
      <c r="C16" s="194"/>
    </row>
    <row r="17" spans="1:10" x14ac:dyDescent="0.25">
      <c r="A17" s="25" t="s">
        <v>88</v>
      </c>
      <c r="B17" s="17">
        <v>0.05</v>
      </c>
      <c r="C17" s="26">
        <f>C21*B17</f>
        <v>14.774985388661603</v>
      </c>
    </row>
    <row r="18" spans="1:10" x14ac:dyDescent="0.25">
      <c r="A18" s="25" t="s">
        <v>94</v>
      </c>
      <c r="B18" s="18">
        <v>9.4500000000000001E-2</v>
      </c>
      <c r="C18" s="26">
        <f>C21*B18</f>
        <v>27.92472238457043</v>
      </c>
    </row>
    <row r="19" spans="1:10" x14ac:dyDescent="0.25">
      <c r="A19" s="27" t="s">
        <v>101</v>
      </c>
      <c r="B19" s="20">
        <f ca="1">SUM(B17:B19)</f>
        <v>0.14450000000000002</v>
      </c>
      <c r="C19" s="28">
        <f ca="1">SUM(C17:C19)</f>
        <v>58.286452367036816</v>
      </c>
    </row>
    <row r="20" spans="1:10" x14ac:dyDescent="0.25">
      <c r="A20" s="23"/>
      <c r="B20" s="14"/>
      <c r="C20" s="24"/>
    </row>
    <row r="21" spans="1:10" ht="15.75" thickBot="1" x14ac:dyDescent="0.3">
      <c r="A21" s="29" t="s">
        <v>143</v>
      </c>
      <c r="B21" s="30"/>
      <c r="C21" s="31">
        <f>(C14/0.8555)</f>
        <v>295.49970777323205</v>
      </c>
    </row>
    <row r="22" spans="1:10" ht="15.75" thickBot="1" x14ac:dyDescent="0.3">
      <c r="A22" s="23"/>
      <c r="B22" s="14"/>
      <c r="C22" s="24"/>
    </row>
    <row r="23" spans="1:10" x14ac:dyDescent="0.25">
      <c r="A23" s="169" t="s">
        <v>159</v>
      </c>
      <c r="B23" s="170"/>
      <c r="C23" s="171"/>
    </row>
    <row r="24" spans="1:10" x14ac:dyDescent="0.25">
      <c r="A24" s="33" t="s">
        <v>106</v>
      </c>
      <c r="B24" s="32" t="s">
        <v>107</v>
      </c>
      <c r="C24" s="34" t="s">
        <v>103</v>
      </c>
    </row>
    <row r="25" spans="1:10" x14ac:dyDescent="0.25">
      <c r="A25" s="35" t="s">
        <v>104</v>
      </c>
      <c r="B25" s="15">
        <v>1</v>
      </c>
      <c r="C25" s="36">
        <f>B25*C11</f>
        <v>403.3664523670368</v>
      </c>
    </row>
    <row r="26" spans="1:10" x14ac:dyDescent="0.25">
      <c r="A26" s="35" t="s">
        <v>105</v>
      </c>
      <c r="B26" s="15">
        <v>11</v>
      </c>
      <c r="C26" s="36">
        <f>B26*C21</f>
        <v>3250.4967855055525</v>
      </c>
      <c r="D26" s="13"/>
      <c r="E26" s="13"/>
      <c r="F26" s="13"/>
      <c r="G26" s="13"/>
      <c r="H26" s="13"/>
      <c r="I26" s="13"/>
      <c r="J26" s="13"/>
    </row>
    <row r="27" spans="1:10" x14ac:dyDescent="0.25">
      <c r="A27" s="37" t="s">
        <v>101</v>
      </c>
      <c r="B27" s="16">
        <f>SUM(B25:B26)</f>
        <v>12</v>
      </c>
      <c r="C27" s="38">
        <f>C25+C26</f>
        <v>3653.8632378725893</v>
      </c>
    </row>
    <row r="28" spans="1:10" ht="15.75" thickBot="1" x14ac:dyDescent="0.3">
      <c r="A28" s="23"/>
      <c r="B28" s="14"/>
      <c r="C28" s="24"/>
    </row>
    <row r="29" spans="1:10" x14ac:dyDescent="0.25">
      <c r="A29" s="198" t="s">
        <v>95</v>
      </c>
      <c r="B29" s="199"/>
      <c r="C29" s="200"/>
    </row>
    <row r="30" spans="1:10" ht="51.75" customHeight="1" x14ac:dyDescent="0.25">
      <c r="A30" s="186" t="s">
        <v>96</v>
      </c>
      <c r="B30" s="187"/>
      <c r="C30" s="188"/>
    </row>
    <row r="31" spans="1:10" x14ac:dyDescent="0.25">
      <c r="A31" s="186" t="s">
        <v>102</v>
      </c>
      <c r="B31" s="187"/>
      <c r="C31" s="188"/>
    </row>
    <row r="32" spans="1:10" x14ac:dyDescent="0.25">
      <c r="A32" s="186" t="s">
        <v>97</v>
      </c>
      <c r="B32" s="187"/>
      <c r="C32" s="188"/>
    </row>
    <row r="33" spans="1:3" ht="39.75" customHeight="1" thickBot="1" x14ac:dyDescent="0.3">
      <c r="A33" s="189" t="s">
        <v>98</v>
      </c>
      <c r="B33" s="190"/>
      <c r="C33" s="191"/>
    </row>
  </sheetData>
  <mergeCells count="12">
    <mergeCell ref="A1:C1"/>
    <mergeCell ref="A31:C31"/>
    <mergeCell ref="A32:C32"/>
    <mergeCell ref="A33:C33"/>
    <mergeCell ref="A6:C6"/>
    <mergeCell ref="A16:C16"/>
    <mergeCell ref="A3:C3"/>
    <mergeCell ref="A13:C13"/>
    <mergeCell ref="A23:C23"/>
    <mergeCell ref="A2:C2"/>
    <mergeCell ref="A30:C30"/>
    <mergeCell ref="A29:C29"/>
  </mergeCells>
  <pageMargins left="0.511811024" right="0.511811024" top="0.78740157499999996" bottom="0.78740157499999996" header="0.31496062000000002" footer="0.31496062000000002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QUADRO RESUMO</vt:lpstr>
      <vt:lpstr>PRINCIPAL - Módulos 1 a 6</vt:lpstr>
      <vt:lpstr>INSUMOS - Módulo 5</vt:lpstr>
      <vt:lpstr>DIÁRIAS - Módulo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Antônio Bomtempo Ribeiro</dc:creator>
  <cp:lastModifiedBy>Marco Antônio Bomtempo Ribeiro</cp:lastModifiedBy>
  <cp:lastPrinted>2024-04-03T19:01:42Z</cp:lastPrinted>
  <dcterms:created xsi:type="dcterms:W3CDTF">2024-03-20T13:24:20Z</dcterms:created>
  <dcterms:modified xsi:type="dcterms:W3CDTF">2024-07-02T17:56:41Z</dcterms:modified>
</cp:coreProperties>
</file>