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4\1 - PROCESSOS\09009 - 59500.003015-2024-17-e - Módulo Sanitário - Carlos\modulos\"/>
    </mc:Choice>
  </mc:AlternateContent>
  <bookViews>
    <workbookView xWindow="0" yWindow="0" windowWidth="24000" windowHeight="9480" tabRatio="768" activeTab="4"/>
  </bookViews>
  <sheets>
    <sheet name="ANALÍTICO" sheetId="6" r:id="rId1"/>
    <sheet name="COMPOSIÇÕES" sheetId="10" r:id="rId2"/>
    <sheet name="Cronograma Físico-Financeiro" sheetId="20" r:id="rId3"/>
    <sheet name="Encargos Sociais" sheetId="21" r:id="rId4"/>
    <sheet name="BDI" sheetId="22" r:id="rId5"/>
  </sheets>
  <externalReferences>
    <externalReference r:id="rId6"/>
    <externalReference r:id="rId7"/>
    <externalReference r:id="rId8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 localSheetId="1">COMPOSIÇÕES!$A$1:$H$51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22" l="1"/>
  <c r="E39" i="22" s="1"/>
  <c r="E18" i="22"/>
  <c r="E9" i="22" s="1"/>
  <c r="D8" i="22"/>
  <c r="E8" i="22" s="1"/>
  <c r="E32" i="22" l="1"/>
  <c r="E31" i="22"/>
  <c r="E29" i="22"/>
  <c r="E10" i="22"/>
  <c r="E11" i="22"/>
  <c r="F18" i="6"/>
  <c r="F19" i="6"/>
  <c r="F20" i="6"/>
  <c r="F17" i="6"/>
  <c r="F14" i="6"/>
  <c r="H31" i="6"/>
  <c r="E31" i="6"/>
  <c r="F31" i="6" s="1"/>
  <c r="I31" i="6" l="1"/>
  <c r="J31" i="6" s="1"/>
  <c r="H44" i="10" l="1"/>
  <c r="H45" i="10"/>
  <c r="H43" i="10"/>
  <c r="F30" i="6"/>
  <c r="H50" i="10" l="1"/>
  <c r="H49" i="10"/>
  <c r="H51" i="10" l="1"/>
  <c r="G30" i="6" s="1"/>
  <c r="B6" i="6" l="1"/>
  <c r="H46" i="10"/>
  <c r="G27" i="6" s="1"/>
  <c r="H28" i="10"/>
  <c r="H22" i="10"/>
  <c r="F27" i="6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I29" i="6" s="1"/>
  <c r="J30" i="6" l="1"/>
  <c r="H27" i="6"/>
  <c r="I27" i="6" s="1"/>
  <c r="H17" i="6"/>
  <c r="H14" i="6"/>
  <c r="J29" i="6" l="1"/>
  <c r="C15" i="20"/>
  <c r="I26" i="6"/>
  <c r="J26" i="6" s="1"/>
  <c r="J27" i="6"/>
  <c r="I14" i="6"/>
  <c r="C11" i="20" s="1"/>
  <c r="I17" i="6"/>
  <c r="J17" i="6" s="1"/>
  <c r="I23" i="6"/>
  <c r="J23" i="6" s="1"/>
  <c r="H20" i="6"/>
  <c r="H18" i="6"/>
  <c r="I25" i="6" l="1"/>
  <c r="C14" i="20" s="1"/>
  <c r="D14" i="20" s="1"/>
  <c r="E15" i="20"/>
  <c r="H15" i="20"/>
  <c r="I15" i="20"/>
  <c r="D15" i="20"/>
  <c r="F15" i="20"/>
  <c r="G15" i="20"/>
  <c r="J15" i="20"/>
  <c r="J14" i="6"/>
  <c r="I22" i="6"/>
  <c r="J22" i="6" s="1"/>
  <c r="I18" i="6"/>
  <c r="J18" i="6" s="1"/>
  <c r="I20" i="6"/>
  <c r="J20" i="6" s="1"/>
  <c r="D11" i="20"/>
  <c r="E11" i="20"/>
  <c r="H11" i="20"/>
  <c r="J11" i="20"/>
  <c r="F11" i="20"/>
  <c r="I11" i="20"/>
  <c r="G11" i="20"/>
  <c r="F14" i="20" l="1"/>
  <c r="E14" i="20"/>
  <c r="I14" i="20"/>
  <c r="J25" i="6"/>
  <c r="G14" i="20"/>
  <c r="H14" i="20"/>
  <c r="K15" i="20"/>
  <c r="C13" i="20"/>
  <c r="D13" i="20" s="1"/>
  <c r="K11" i="20"/>
  <c r="J14" i="20" l="1"/>
  <c r="K14" i="20" s="1"/>
  <c r="E13" i="20"/>
  <c r="I13" i="20"/>
  <c r="F13" i="20"/>
  <c r="H13" i="20"/>
  <c r="G13" i="20"/>
  <c r="J13" i="20" l="1"/>
  <c r="K13" i="20" s="1"/>
  <c r="H33" i="10"/>
  <c r="H35" i="10" s="1"/>
  <c r="G19" i="6" l="1"/>
  <c r="H19" i="6" s="1"/>
  <c r="I19" i="6" l="1"/>
  <c r="I16" i="6" s="1"/>
  <c r="J16" i="6" s="1"/>
  <c r="I12" i="6" l="1"/>
  <c r="I33" i="6" s="1"/>
  <c r="C12" i="20"/>
  <c r="D12" i="20" s="1"/>
  <c r="D16" i="20" s="1"/>
  <c r="J19" i="6"/>
  <c r="J12" i="6" l="1"/>
  <c r="I12" i="20"/>
  <c r="I16" i="20" s="1"/>
  <c r="G12" i="20"/>
  <c r="G16" i="20" s="1"/>
  <c r="J33" i="6"/>
  <c r="I9" i="6" s="1"/>
  <c r="F12" i="20"/>
  <c r="F16" i="20" s="1"/>
  <c r="E12" i="20"/>
  <c r="E16" i="20" s="1"/>
  <c r="H12" i="20"/>
  <c r="H16" i="20" s="1"/>
  <c r="C16" i="20"/>
  <c r="K16" i="20" s="1"/>
  <c r="J12" i="20" l="1"/>
  <c r="I17" i="20"/>
  <c r="G17" i="20"/>
  <c r="C18" i="20"/>
  <c r="F17" i="20"/>
  <c r="H17" i="20"/>
  <c r="C17" i="20"/>
  <c r="E17" i="20"/>
  <c r="D17" i="20"/>
  <c r="J16" i="20" l="1"/>
  <c r="J17" i="20" s="1"/>
  <c r="K17" i="20" s="1"/>
  <c r="K12" i="20"/>
</calcChain>
</file>

<file path=xl/comments1.xml><?xml version="1.0" encoding="utf-8"?>
<comments xmlns="http://schemas.openxmlformats.org/spreadsheetml/2006/main">
  <authors>
    <author/>
  </authors>
  <commentList>
    <comment ref="C49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<sst xmlns="http://schemas.openxmlformats.org/spreadsheetml/2006/main" count="270" uniqueCount="155">
  <si>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</si>
  <si>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</si>
  <si>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</si>
  <si>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</si>
  <si>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</si>
  <si>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</si>
  <si>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</si>
  <si>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</si>
  <si>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</si>
  <si>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</si>
  <si>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</si>
  <si>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</si>
  <si>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</si>
  <si>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</si>
  <si>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</si>
  <si>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</si>
  <si>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</si>
  <si>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</si>
  <si>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</si>
  <si>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</si>
  <si>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</si>
  <si>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</si>
  <si>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</si>
  <si>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</si>
  <si>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</si>
  <si>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</si>
  <si>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</si>
  <si>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</si>
  <si>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</si>
  <si>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</si>
  <si>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</si>
  <si>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</si>
  <si>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</si>
  <si>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</si>
  <si>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</si>
  <si>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</si>
  <si>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</si>
  <si>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</si>
  <si>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</si>
  <si>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</si>
  <si>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</si>
  <si>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</si>
  <si>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</si>
  <si>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</si>
  <si>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</si>
  <si>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</si>
  <si>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</si>
  <si>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</si>
  <si>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</si>
  <si>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</si>
  <si>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</si>
  <si>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</si>
  <si>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</si>
  <si>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</si>
  <si>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</si>
  <si>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</si>
  <si>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7,41</t>
  </si>
  <si>
    <t>L</t>
  </si>
  <si>
    <t>17,76</t>
  </si>
  <si>
    <t>PREGO DE ACO POLIDO COM CABECA 18 X 30 (2 3/4 X 10)</t>
  </si>
  <si>
    <t>PONTALETE *7,5 X 7,5* CM EM PINUS, MISTA OU EQUIVALENTE DA REGIAO - BRUTA</t>
  </si>
  <si>
    <t>9,50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</si>
  <si>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</si>
  <si>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</si>
  <si>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</si>
  <si>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</si>
  <si>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</si>
  <si>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</si>
  <si>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</si>
  <si>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</si>
  <si>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</si>
  <si>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</si>
  <si>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</si>
  <si>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</si>
  <si>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</si>
  <si>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</si>
  <si>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</si>
  <si>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</si>
  <si>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</si>
  <si>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</si>
  <si>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</si>
  <si>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</si>
  <si>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</si>
  <si>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</si>
  <si>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</si>
  <si>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</si>
  <si>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</si>
  <si>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</si>
  <si>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</si>
  <si>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</si>
  <si>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</si>
  <si>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</si>
  <si>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</si>
  <si>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</si>
  <si>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</si>
  <si>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</si>
  <si>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</si>
  <si>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</si>
  <si>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</si>
  <si>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</si>
  <si>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</si>
  <si>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MINISTÉRIO DA INTEGRAÇÃO E DO DESENVOLVIMENTO REGIONAL - MIDR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</si>
  <si>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</si>
  <si>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</si>
  <si>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</si>
  <si>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</si>
  <si>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</si>
  <si>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</si>
  <si>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</si>
  <si>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</si>
  <si>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</si>
  <si>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</si>
  <si>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</si>
  <si>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</si>
  <si>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</si>
  <si>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</si>
  <si>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</si>
  <si>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</si>
  <si>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</si>
  <si>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</si>
  <si>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</si>
  <si>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</si>
  <si>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</si>
  <si>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</si>
  <si>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</si>
  <si>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</si>
  <si>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BAHIA 6ª SR</t>
  </si>
  <si>
    <t>77,03</t>
  </si>
  <si>
    <t>375,00</t>
  </si>
  <si>
    <t>07.2024 / 04.2024</t>
  </si>
  <si>
    <t>E9687</t>
  </si>
  <si>
    <t>03.02</t>
  </si>
  <si>
    <t>EXECUÇÃO DE PISO EM CONCRETO NA ÁREA EXTERNA</t>
  </si>
  <si>
    <t>M³</t>
  </si>
  <si>
    <t>M²</t>
  </si>
  <si>
    <t>FORNECIMENTO, TRANSPORTE E INSTALAÇÃO DE MÓDULOS SANITÁRIOS COM TRATAMENTO POR DESIDRATAÇÃO - BAHIA (6ª SR)</t>
  </si>
  <si>
    <t>COTAÇÃO 03</t>
  </si>
  <si>
    <t>DESCRIÇÃO DOS SERVIÇOS</t>
  </si>
  <si>
    <t>PREÇO DE VENDA (%)</t>
  </si>
  <si>
    <t>CUSTO DIRETO (%)</t>
  </si>
  <si>
    <t>ADMINISTRAÇÃO CENTRAL (AC)</t>
  </si>
  <si>
    <t>IMPOSTOS E TAXAS (I)</t>
  </si>
  <si>
    <t>2.1</t>
  </si>
  <si>
    <t>ISS</t>
  </si>
  <si>
    <t>2.2</t>
  </si>
  <si>
    <t>PIS</t>
  </si>
  <si>
    <t>2.3</t>
  </si>
  <si>
    <t>COFINS</t>
  </si>
  <si>
    <t>RISCO, SEGURO E GARANTIA (R)</t>
  </si>
  <si>
    <t>DESPESAS FINANCEIRAS (DF)</t>
  </si>
  <si>
    <t>LUCRO (L)</t>
  </si>
  <si>
    <t>BDI (%)</t>
  </si>
  <si>
    <t>BDI(%)=((((1+AC+R)*(1+DF)*(1+L)/(1-I))-1)</t>
  </si>
  <si>
    <t xml:space="preserve">        DETALHAMENTO BDI - FORNECIMENTO DE EQUIPAMENTOS SEM DESONERAÇÃO</t>
  </si>
  <si>
    <t xml:space="preserve">           DETALHAMENTO BDI - SEM DESONERAÇÃO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</si>
</sst>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66">
    <xf numFmtId="0" fontId="0" fillId="0" borderId="0"/>
    <xf numFmtId="166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0" fontId="13" fillId="0" borderId="0"/>
    <xf numFmtId="0" fontId="9" fillId="0" borderId="0"/>
    <xf numFmtId="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20" fillId="0" borderId="0"/>
    <xf numFmtId="0" fontId="13" fillId="0" borderId="0"/>
    <xf numFmtId="9" fontId="13" fillId="0" borderId="0" applyFill="0" applyBorder="0" applyAlignment="0" applyProtection="0"/>
    <xf numFmtId="0" fontId="5" fillId="0" borderId="0"/>
    <xf numFmtId="164" fontId="2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0" fillId="0" borderId="0"/>
    <xf numFmtId="0" fontId="26" fillId="0" borderId="0"/>
    <xf numFmtId="0" fontId="4" fillId="0" borderId="0"/>
    <xf numFmtId="0" fontId="27" fillId="0" borderId="0"/>
    <xf numFmtId="168" fontId="13" fillId="0" borderId="0" applyFill="0" applyBorder="0" applyAlignment="0" applyProtection="0"/>
    <xf numFmtId="0" fontId="3" fillId="0" borderId="0"/>
    <xf numFmtId="16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4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213">
    <xf numFmtId="0" fontId="0" fillId="0" borderId="0" xfId="0"/>
    <xf numFmtId="49" fontId="14" fillId="0" borderId="0" xfId="0" applyNumberFormat="1" applyFont="1" applyBorder="1" applyAlignment="1">
      <alignment horizontal="left" vertical="center" indent="15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 wrapText="1"/>
    </xf>
    <xf numFmtId="166" fontId="14" fillId="0" borderId="0" xfId="1" applyFont="1" applyAlignment="1">
      <alignment vertical="center"/>
    </xf>
    <xf numFmtId="166" fontId="14" fillId="0" borderId="1" xfId="1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vertical="center"/>
    </xf>
    <xf numFmtId="1" fontId="14" fillId="0" borderId="0" xfId="0" applyNumberFormat="1" applyFont="1" applyBorder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8" fillId="0" borderId="0" xfId="21" applyFont="1"/>
    <xf numFmtId="4" fontId="18" fillId="0" borderId="0" xfId="21" applyNumberFormat="1" applyFont="1"/>
    <xf numFmtId="49" fontId="18" fillId="0" borderId="0" xfId="21" applyNumberFormat="1" applyFont="1" applyAlignment="1">
      <alignment vertical="top"/>
    </xf>
    <xf numFmtId="0" fontId="18" fillId="0" borderId="0" xfId="21" applyFont="1" applyAlignment="1">
      <alignment vertical="top" wrapText="1"/>
    </xf>
    <xf numFmtId="0" fontId="18" fillId="0" borderId="0" xfId="21" applyFont="1" applyAlignment="1">
      <alignment horizontal="center" vertical="top" wrapText="1"/>
    </xf>
    <xf numFmtId="0" fontId="18" fillId="0" borderId="0" xfId="21" applyFont="1" applyAlignment="1">
      <alignment horizontal="center"/>
    </xf>
    <xf numFmtId="0" fontId="17" fillId="0" borderId="0" xfId="21" applyFont="1"/>
    <xf numFmtId="4" fontId="17" fillId="0" borderId="0" xfId="21" applyNumberFormat="1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4" fillId="0" borderId="0" xfId="0" applyNumberFormat="1" applyFont="1" applyBorder="1" applyAlignment="1">
      <alignment horizontal="left" vertical="center"/>
    </xf>
    <xf numFmtId="0" fontId="18" fillId="0" borderId="0" xfId="21" applyFont="1" applyAlignment="1">
      <alignment vertical="top"/>
    </xf>
    <xf numFmtId="169" fontId="18" fillId="0" borderId="0" xfId="21" applyNumberFormat="1" applyFont="1"/>
    <xf numFmtId="49" fontId="14" fillId="0" borderId="0" xfId="1" applyNumberFormat="1" applyFont="1" applyBorder="1" applyAlignment="1">
      <alignment horizontal="left" vertical="center" indent="1"/>
    </xf>
    <xf numFmtId="49" fontId="14" fillId="0" borderId="0" xfId="1" applyNumberFormat="1" applyFont="1" applyBorder="1" applyAlignment="1">
      <alignment horizontal="center" vertical="center"/>
    </xf>
    <xf numFmtId="10" fontId="14" fillId="0" borderId="0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0" fontId="18" fillId="0" borderId="0" xfId="21" applyFont="1" applyAlignment="1">
      <alignment horizontal="left" vertical="center" wrapText="1"/>
    </xf>
    <xf numFmtId="164" fontId="18" fillId="0" borderId="0" xfId="26" applyFont="1"/>
    <xf numFmtId="49" fontId="14" fillId="0" borderId="0" xfId="0" applyNumberFormat="1" applyFont="1" applyAlignment="1">
      <alignment horizontal="left" vertical="center"/>
    </xf>
    <xf numFmtId="49" fontId="18" fillId="0" borderId="0" xfId="21" applyNumberFormat="1" applyFont="1" applyAlignment="1">
      <alignment vertical="top" wrapText="1"/>
    </xf>
    <xf numFmtId="0" fontId="18" fillId="0" borderId="0" xfId="21" applyFont="1" applyFill="1" applyAlignment="1">
      <alignment vertical="top" wrapText="1"/>
    </xf>
    <xf numFmtId="0" fontId="18" fillId="0" borderId="0" xfId="21" applyFont="1" applyAlignment="1">
      <alignment wrapText="1"/>
    </xf>
    <xf numFmtId="169" fontId="18" fillId="0" borderId="0" xfId="21" applyNumberFormat="1" applyFont="1" applyAlignment="1">
      <alignment wrapText="1"/>
    </xf>
    <xf numFmtId="4" fontId="18" fillId="0" borderId="0" xfId="21" applyNumberFormat="1" applyFont="1" applyAlignment="1">
      <alignment wrapText="1"/>
    </xf>
    <xf numFmtId="0" fontId="18" fillId="4" borderId="0" xfId="21" applyFont="1" applyFill="1"/>
    <xf numFmtId="49" fontId="14" fillId="0" borderId="0" xfId="23" applyNumberFormat="1" applyFont="1" applyBorder="1" applyAlignment="1">
      <alignment horizontal="left" vertical="center" indent="15"/>
    </xf>
    <xf numFmtId="0" fontId="14" fillId="0" borderId="0" xfId="23" applyFont="1" applyBorder="1" applyAlignment="1">
      <alignment vertical="center"/>
    </xf>
    <xf numFmtId="0" fontId="14" fillId="0" borderId="0" xfId="23" applyFont="1" applyAlignment="1">
      <alignment vertical="center"/>
    </xf>
    <xf numFmtId="49" fontId="14" fillId="0" borderId="0" xfId="23" applyNumberFormat="1" applyFont="1" applyAlignment="1">
      <alignment vertical="center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Border="1" applyAlignment="1">
      <alignment vertical="center"/>
    </xf>
    <xf numFmtId="49" fontId="14" fillId="0" borderId="1" xfId="23" applyNumberFormat="1" applyFont="1" applyBorder="1" applyAlignment="1">
      <alignment horizontal="center" vertical="center" wrapText="1"/>
    </xf>
    <xf numFmtId="0" fontId="14" fillId="0" borderId="1" xfId="23" applyFont="1" applyBorder="1" applyAlignment="1">
      <alignment horizontal="center" vertical="center" wrapText="1"/>
    </xf>
    <xf numFmtId="49" fontId="18" fillId="0" borderId="1" xfId="33" applyNumberFormat="1" applyFont="1" applyBorder="1" applyAlignment="1">
      <alignment horizontal="center" vertical="center"/>
    </xf>
    <xf numFmtId="0" fontId="17" fillId="0" borderId="1" xfId="33" applyFont="1" applyBorder="1" applyAlignment="1">
      <alignment horizontal="center" vertical="center" wrapText="1"/>
    </xf>
    <xf numFmtId="164" fontId="17" fillId="0" borderId="1" xfId="34" applyFont="1" applyBorder="1" applyAlignment="1">
      <alignment horizontal="center" vertical="center"/>
    </xf>
    <xf numFmtId="164" fontId="18" fillId="0" borderId="1" xfId="34" applyFont="1" applyBorder="1" applyAlignment="1">
      <alignment horizontal="center" vertical="center"/>
    </xf>
    <xf numFmtId="0" fontId="17" fillId="0" borderId="0" xfId="33" applyFont="1"/>
    <xf numFmtId="4" fontId="17" fillId="0" borderId="0" xfId="33" applyNumberFormat="1" applyFont="1"/>
    <xf numFmtId="0" fontId="18" fillId="0" borderId="0" xfId="33" applyFont="1"/>
    <xf numFmtId="4" fontId="28" fillId="0" borderId="0" xfId="33" applyNumberFormat="1" applyFont="1"/>
    <xf numFmtId="4" fontId="18" fillId="0" borderId="0" xfId="33" applyNumberFormat="1" applyFont="1"/>
    <xf numFmtId="49" fontId="18" fillId="0" borderId="0" xfId="33" applyNumberFormat="1" applyFont="1" applyAlignment="1">
      <alignment vertical="top"/>
    </xf>
    <xf numFmtId="0" fontId="18" fillId="0" borderId="0" xfId="33" applyFont="1" applyAlignment="1">
      <alignment vertical="top" wrapText="1"/>
    </xf>
    <xf numFmtId="164" fontId="14" fillId="0" borderId="1" xfId="1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164" fontId="25" fillId="0" borderId="1" xfId="23" applyNumberFormat="1" applyFont="1" applyBorder="1" applyAlignment="1">
      <alignment horizontal="center" vertical="center" wrapText="1"/>
    </xf>
    <xf numFmtId="0" fontId="25" fillId="0" borderId="0" xfId="23" applyFont="1" applyAlignment="1">
      <alignment vertical="center" wrapText="1"/>
    </xf>
    <xf numFmtId="164" fontId="18" fillId="0" borderId="0" xfId="33" applyNumberFormat="1" applyFont="1"/>
    <xf numFmtId="164" fontId="17" fillId="0" borderId="0" xfId="26" applyFont="1"/>
    <xf numFmtId="164" fontId="14" fillId="0" borderId="0" xfId="26" applyFont="1" applyAlignment="1">
      <alignment vertical="center" wrapText="1"/>
    </xf>
    <xf numFmtId="0" fontId="17" fillId="0" borderId="1" xfId="21" applyFont="1" applyBorder="1" applyAlignment="1">
      <alignment horizontal="center" vertical="center" wrapText="1"/>
    </xf>
    <xf numFmtId="0" fontId="18" fillId="0" borderId="0" xfId="33" applyNumberFormat="1" applyFont="1"/>
    <xf numFmtId="4" fontId="18" fillId="4" borderId="0" xfId="21" applyNumberFormat="1" applyFont="1" applyFill="1"/>
    <xf numFmtId="49" fontId="17" fillId="0" borderId="1" xfId="33" applyNumberFormat="1" applyFont="1" applyBorder="1" applyAlignment="1">
      <alignment horizontal="center" vertical="center"/>
    </xf>
    <xf numFmtId="49" fontId="17" fillId="0" borderId="1" xfId="33" quotePrefix="1" applyNumberFormat="1" applyFont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167" fontId="29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29" fillId="4" borderId="1" xfId="0" applyNumberFormat="1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9" fillId="0" borderId="1" xfId="21" applyNumberFormat="1" applyFont="1" applyBorder="1" applyAlignment="1">
      <alignment horizontal="left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30" fillId="0" borderId="1" xfId="21" applyFont="1" applyFill="1" applyBorder="1" applyAlignment="1">
      <alignment horizontal="center" vertical="center" wrapText="1"/>
    </xf>
    <xf numFmtId="0" fontId="30" fillId="0" borderId="1" xfId="21" applyNumberFormat="1" applyFont="1" applyBorder="1" applyAlignment="1">
      <alignment horizontal="center" vertical="center" wrapText="1"/>
    </xf>
    <xf numFmtId="0" fontId="30" fillId="0" borderId="1" xfId="21" applyFont="1" applyBorder="1" applyAlignment="1">
      <alignment horizontal="left" vertical="center" wrapText="1"/>
    </xf>
    <xf numFmtId="0" fontId="30" fillId="0" borderId="1" xfId="2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1" fillId="0" borderId="1" xfId="28" applyNumberFormat="1" applyFont="1" applyFill="1" applyBorder="1" applyAlignment="1">
      <alignment horizontal="center" vertical="center"/>
    </xf>
    <xf numFmtId="49" fontId="32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66" fontId="32" fillId="3" borderId="1" xfId="1" applyFont="1" applyFill="1" applyBorder="1" applyAlignment="1">
      <alignment horizontal="center" vertical="center" wrapText="1"/>
    </xf>
    <xf numFmtId="49" fontId="32" fillId="3" borderId="1" xfId="1" applyNumberFormat="1" applyFont="1" applyFill="1" applyBorder="1" applyAlignment="1">
      <alignment horizontal="center" vertical="center" wrapText="1"/>
    </xf>
    <xf numFmtId="49" fontId="33" fillId="0" borderId="1" xfId="21" quotePrefix="1" applyNumberFormat="1" applyFont="1" applyBorder="1" applyAlignment="1">
      <alignment horizontal="left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right" vertical="center" wrapText="1"/>
    </xf>
    <xf numFmtId="0" fontId="35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right" vertical="center" wrapText="1"/>
    </xf>
    <xf numFmtId="0" fontId="34" fillId="0" borderId="1" xfId="21" applyFont="1" applyBorder="1" applyAlignment="1">
      <alignment horizontal="left" vertical="center" wrapText="1"/>
    </xf>
    <xf numFmtId="0" fontId="35" fillId="0" borderId="1" xfId="21" applyFont="1" applyBorder="1" applyAlignment="1">
      <alignment horizontal="center" vertical="center" wrapText="1"/>
    </xf>
    <xf numFmtId="0" fontId="34" fillId="0" borderId="1" xfId="2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left" vertical="center" wrapText="1"/>
    </xf>
    <xf numFmtId="0" fontId="33" fillId="4" borderId="1" xfId="21" applyFont="1" applyFill="1" applyBorder="1" applyAlignment="1">
      <alignment vertical="center" wrapText="1"/>
    </xf>
    <xf numFmtId="4" fontId="33" fillId="4" borderId="1" xfId="21" applyNumberFormat="1" applyFont="1" applyFill="1" applyBorder="1" applyAlignment="1">
      <alignment horizontal="center" vertical="center" wrapText="1"/>
    </xf>
    <xf numFmtId="49" fontId="36" fillId="0" borderId="0" xfId="0" applyNumberFormat="1" applyFont="1" applyBorder="1" applyAlignment="1">
      <alignment vertical="center"/>
    </xf>
    <xf numFmtId="0" fontId="32" fillId="0" borderId="0" xfId="0" applyFont="1" applyAlignment="1">
      <alignment vertical="center"/>
    </xf>
    <xf numFmtId="49" fontId="37" fillId="0" borderId="0" xfId="0" applyNumberFormat="1" applyFont="1" applyBorder="1" applyAlignment="1">
      <alignment horizontal="left" vertical="center"/>
    </xf>
    <xf numFmtId="49" fontId="37" fillId="0" borderId="0" xfId="0" applyNumberFormat="1" applyFont="1" applyBorder="1" applyAlignment="1">
      <alignment horizontal="center" vertical="center"/>
    </xf>
    <xf numFmtId="49" fontId="22" fillId="0" borderId="1" xfId="21" applyNumberFormat="1" applyFont="1" applyBorder="1" applyAlignment="1">
      <alignment horizontal="left" vertical="center" wrapText="1"/>
    </xf>
    <xf numFmtId="0" fontId="29" fillId="0" borderId="1" xfId="21" applyFont="1" applyBorder="1" applyAlignment="1">
      <alignment horizontal="left" vertical="center" wrapText="1"/>
    </xf>
    <xf numFmtId="0" fontId="39" fillId="5" borderId="0" xfId="21" applyFont="1" applyFill="1"/>
    <xf numFmtId="49" fontId="34" fillId="0" borderId="1" xfId="21" quotePrefix="1" applyNumberFormat="1" applyFont="1" applyBorder="1" applyAlignment="1">
      <alignment horizontal="right" vertical="center" wrapText="1"/>
    </xf>
    <xf numFmtId="0" fontId="30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40" fillId="0" borderId="1" xfId="21" applyFont="1" applyBorder="1" applyAlignment="1">
      <alignment horizontal="center" vertical="center" wrapText="1"/>
    </xf>
    <xf numFmtId="0" fontId="40" fillId="0" borderId="1" xfId="25" applyFont="1" applyBorder="1" applyAlignment="1">
      <alignment horizontal="center" vertical="center" wrapText="1"/>
    </xf>
    <xf numFmtId="0" fontId="40" fillId="0" borderId="1" xfId="25" applyFont="1" applyBorder="1" applyAlignment="1">
      <alignment horizontal="left" vertical="center" wrapText="1"/>
    </xf>
    <xf numFmtId="169" fontId="40" fillId="0" borderId="1" xfId="25" applyNumberFormat="1" applyFont="1" applyBorder="1" applyAlignment="1">
      <alignment horizontal="center" vertical="center" wrapText="1"/>
    </xf>
    <xf numFmtId="4" fontId="40" fillId="0" borderId="1" xfId="21" applyNumberFormat="1" applyFont="1" applyBorder="1" applyAlignment="1">
      <alignment horizontal="center" vertical="center" wrapText="1"/>
    </xf>
    <xf numFmtId="4" fontId="33" fillId="0" borderId="1" xfId="21" applyNumberFormat="1" applyFont="1" applyFill="1" applyBorder="1" applyAlignment="1">
      <alignment horizontal="center" vertical="center" wrapText="1"/>
    </xf>
    <xf numFmtId="0" fontId="33" fillId="0" borderId="1" xfId="21" applyFont="1" applyFill="1" applyBorder="1" applyAlignment="1">
      <alignment horizontal="center" vertical="center" wrapText="1"/>
    </xf>
    <xf numFmtId="4" fontId="21" fillId="0" borderId="1" xfId="21" applyNumberFormat="1" applyFont="1" applyFill="1" applyBorder="1" applyAlignment="1">
      <alignment horizontal="center" vertical="center" wrapText="1"/>
    </xf>
    <xf numFmtId="0" fontId="29" fillId="0" borderId="1" xfId="21" applyFont="1" applyBorder="1" applyAlignment="1">
      <alignment horizontal="center" vertical="center" wrapText="1"/>
    </xf>
    <xf numFmtId="0" fontId="42" fillId="0" borderId="0" xfId="0" applyFont="1"/>
    <xf numFmtId="0" fontId="41" fillId="6" borderId="1" xfId="0" applyFont="1" applyFill="1" applyBorder="1" applyAlignment="1">
      <alignment horizontal="center" vertical="center"/>
    </xf>
    <xf numFmtId="0" fontId="41" fillId="6" borderId="3" xfId="0" applyFont="1" applyFill="1" applyBorder="1" applyAlignment="1">
      <alignment horizontal="center" vertical="center"/>
    </xf>
    <xf numFmtId="10" fontId="41" fillId="0" borderId="0" xfId="0" applyNumberFormat="1" applyFont="1"/>
    <xf numFmtId="0" fontId="42" fillId="0" borderId="6" xfId="0" applyFont="1" applyBorder="1"/>
    <xf numFmtId="0" fontId="42" fillId="0" borderId="5" xfId="0" applyFont="1" applyBorder="1"/>
    <xf numFmtId="0" fontId="41" fillId="0" borderId="6" xfId="0" applyFont="1" applyBorder="1" applyAlignment="1">
      <alignment horizontal="center"/>
    </xf>
    <xf numFmtId="0" fontId="41" fillId="0" borderId="6" xfId="0" applyFont="1" applyBorder="1"/>
    <xf numFmtId="0" fontId="42" fillId="0" borderId="6" xfId="0" applyFont="1" applyBorder="1" applyAlignment="1">
      <alignment horizontal="center"/>
    </xf>
    <xf numFmtId="10" fontId="41" fillId="0" borderId="5" xfId="0" applyNumberFormat="1" applyFont="1" applyBorder="1" applyAlignment="1">
      <alignment horizontal="center"/>
    </xf>
    <xf numFmtId="10" fontId="41" fillId="0" borderId="0" xfId="0" applyNumberFormat="1" applyFont="1" applyAlignment="1">
      <alignment horizontal="center"/>
    </xf>
    <xf numFmtId="0" fontId="42" fillId="0" borderId="5" xfId="0" applyFont="1" applyBorder="1" applyAlignment="1">
      <alignment horizontal="center"/>
    </xf>
    <xf numFmtId="0" fontId="42" fillId="0" borderId="0" xfId="0" applyFont="1" applyAlignment="1">
      <alignment horizontal="center"/>
    </xf>
    <xf numFmtId="10" fontId="41" fillId="0" borderId="6" xfId="0" applyNumberFormat="1" applyFont="1" applyBorder="1" applyAlignment="1">
      <alignment horizontal="center"/>
    </xf>
    <xf numFmtId="10" fontId="42" fillId="0" borderId="6" xfId="0" applyNumberFormat="1" applyFont="1" applyBorder="1" applyAlignment="1">
      <alignment horizontal="center"/>
    </xf>
    <xf numFmtId="10" fontId="42" fillId="0" borderId="5" xfId="0" applyNumberFormat="1" applyFont="1" applyBorder="1" applyAlignment="1">
      <alignment horizontal="center"/>
    </xf>
    <xf numFmtId="10" fontId="42" fillId="0" borderId="0" xfId="0" applyNumberFormat="1" applyFont="1" applyAlignment="1">
      <alignment horizontal="center"/>
    </xf>
    <xf numFmtId="0" fontId="41" fillId="0" borderId="5" xfId="0" applyFont="1" applyBorder="1"/>
    <xf numFmtId="0" fontId="41" fillId="0" borderId="0" xfId="0" applyFont="1"/>
    <xf numFmtId="0" fontId="42" fillId="0" borderId="7" xfId="0" applyFont="1" applyBorder="1"/>
    <xf numFmtId="0" fontId="41" fillId="0" borderId="7" xfId="0" applyFont="1" applyBorder="1" applyAlignment="1">
      <alignment horizontal="right"/>
    </xf>
    <xf numFmtId="10" fontId="43" fillId="0" borderId="8" xfId="0" applyNumberFormat="1" applyFont="1" applyBorder="1" applyAlignment="1">
      <alignment horizontal="center"/>
    </xf>
    <xf numFmtId="0" fontId="41" fillId="0" borderId="0" xfId="0" applyFont="1" applyAlignment="1">
      <alignment horizontal="center" vertical="center"/>
    </xf>
    <xf numFmtId="0" fontId="42" fillId="0" borderId="9" xfId="0" applyFont="1" applyBorder="1"/>
    <xf numFmtId="0" fontId="42" fillId="0" borderId="10" xfId="0" applyFont="1" applyBorder="1"/>
    <xf numFmtId="2" fontId="42" fillId="0" borderId="9" xfId="0" applyNumberFormat="1" applyFont="1" applyBorder="1" applyAlignment="1">
      <alignment horizontal="center"/>
    </xf>
    <xf numFmtId="10" fontId="41" fillId="0" borderId="9" xfId="0" applyNumberFormat="1" applyFont="1" applyBorder="1" applyAlignment="1">
      <alignment horizontal="center"/>
    </xf>
    <xf numFmtId="10" fontId="42" fillId="0" borderId="9" xfId="0" applyNumberFormat="1" applyFont="1" applyBorder="1" applyAlignment="1">
      <alignment horizontal="center"/>
    </xf>
    <xf numFmtId="2" fontId="42" fillId="0" borderId="9" xfId="0" applyNumberFormat="1" applyFont="1" applyBorder="1"/>
    <xf numFmtId="10" fontId="42" fillId="0" borderId="6" xfId="0" applyNumberFormat="1" applyFont="1" applyBorder="1"/>
    <xf numFmtId="10" fontId="42" fillId="0" borderId="0" xfId="0" applyNumberFormat="1" applyFont="1"/>
    <xf numFmtId="10" fontId="41" fillId="0" borderId="6" xfId="0" applyNumberFormat="1" applyFont="1" applyBorder="1"/>
    <xf numFmtId="0" fontId="41" fillId="0" borderId="11" xfId="0" applyFont="1" applyBorder="1" applyAlignment="1">
      <alignment horizontal="right"/>
    </xf>
    <xf numFmtId="10" fontId="43" fillId="4" borderId="12" xfId="0" applyNumberFormat="1" applyFont="1" applyFill="1" applyBorder="1" applyAlignment="1">
      <alignment horizontal="center"/>
    </xf>
    <xf numFmtId="49" fontId="34" fillId="0" borderId="1" xfId="21" quotePrefix="1" applyNumberFormat="1" applyFont="1" applyBorder="1" applyAlignment="1">
      <alignment horizontal="center" vertical="center" wrapText="1"/>
    </xf>
    <xf numFmtId="0" fontId="33" fillId="4" borderId="1" xfId="21" applyFont="1" applyFill="1" applyBorder="1" applyAlignment="1">
      <alignment horizontal="center" vertical="center" wrapText="1"/>
    </xf>
    <xf numFmtId="0" fontId="33" fillId="0" borderId="1" xfId="21" applyFont="1" applyBorder="1" applyAlignment="1">
      <alignment horizontal="left" vertical="center" wrapText="1"/>
    </xf>
    <xf numFmtId="10" fontId="31" fillId="0" borderId="2" xfId="2" applyNumberFormat="1" applyFont="1" applyBorder="1" applyAlignment="1">
      <alignment horizontal="center" vertical="center"/>
    </xf>
    <xf numFmtId="10" fontId="31" fillId="0" borderId="3" xfId="2" applyNumberFormat="1" applyFont="1" applyBorder="1" applyAlignment="1">
      <alignment horizontal="center" vertical="center"/>
    </xf>
    <xf numFmtId="3" fontId="31" fillId="0" borderId="2" xfId="0" applyNumberFormat="1" applyFont="1" applyBorder="1" applyAlignment="1">
      <alignment horizontal="center" vertical="center"/>
    </xf>
    <xf numFmtId="3" fontId="31" fillId="0" borderId="3" xfId="0" applyNumberFormat="1" applyFont="1" applyBorder="1" applyAlignment="1">
      <alignment horizontal="center" vertical="center"/>
    </xf>
    <xf numFmtId="10" fontId="31" fillId="0" borderId="2" xfId="2" applyNumberFormat="1" applyFont="1" applyBorder="1" applyAlignment="1">
      <alignment horizontal="left" vertical="center" indent="1"/>
    </xf>
    <xf numFmtId="10" fontId="31" fillId="0" borderId="3" xfId="2" applyNumberFormat="1" applyFont="1" applyBorder="1" applyAlignment="1">
      <alignment horizontal="left" vertical="center" indent="1"/>
    </xf>
    <xf numFmtId="0" fontId="34" fillId="2" borderId="1" xfId="21" applyFont="1" applyFill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0" fontId="37" fillId="0" borderId="5" xfId="0" applyFont="1" applyBorder="1" applyAlignment="1">
      <alignment vertical="center"/>
    </xf>
    <xf numFmtId="49" fontId="37" fillId="0" borderId="0" xfId="0" applyNumberFormat="1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34" fillId="4" borderId="1" xfId="21" applyFont="1" applyFill="1" applyBorder="1" applyAlignment="1">
      <alignment horizontal="center" vertical="center" wrapText="1"/>
    </xf>
    <xf numFmtId="49" fontId="34" fillId="4" borderId="1" xfId="21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 indent="13"/>
    </xf>
    <xf numFmtId="0" fontId="14" fillId="0" borderId="0" xfId="0" applyFont="1" applyAlignment="1">
      <alignment horizontal="left" vertical="center" wrapText="1" indent="13"/>
    </xf>
    <xf numFmtId="49" fontId="31" fillId="0" borderId="2" xfId="1" applyNumberFormat="1" applyFont="1" applyBorder="1" applyAlignment="1">
      <alignment horizontal="left" vertical="center" indent="1"/>
    </xf>
    <xf numFmtId="49" fontId="31" fillId="0" borderId="4" xfId="1" applyNumberFormat="1" applyFont="1" applyBorder="1" applyAlignment="1">
      <alignment horizontal="left" vertical="center" indent="1"/>
    </xf>
    <xf numFmtId="49" fontId="31" fillId="0" borderId="3" xfId="1" applyNumberFormat="1" applyFont="1" applyBorder="1" applyAlignment="1">
      <alignment horizontal="left" vertical="center" indent="1"/>
    </xf>
    <xf numFmtId="0" fontId="14" fillId="0" borderId="0" xfId="0" applyFont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49" fontId="31" fillId="0" borderId="2" xfId="1" applyNumberFormat="1" applyFont="1" applyFill="1" applyBorder="1" applyAlignment="1">
      <alignment horizontal="center" vertical="center"/>
    </xf>
    <xf numFmtId="49" fontId="31" fillId="0" borderId="3" xfId="1" applyNumberFormat="1" applyFont="1" applyFill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6" fillId="0" borderId="5" xfId="0" applyFont="1" applyBorder="1" applyAlignment="1">
      <alignment vertical="center"/>
    </xf>
    <xf numFmtId="164" fontId="38" fillId="0" borderId="1" xfId="26" applyFont="1" applyBorder="1" applyAlignment="1">
      <alignment horizontal="center" vertical="center"/>
    </xf>
    <xf numFmtId="10" fontId="38" fillId="0" borderId="1" xfId="2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23" applyFont="1" applyBorder="1" applyAlignment="1">
      <alignment horizontal="left" vertical="center"/>
    </xf>
    <xf numFmtId="49" fontId="24" fillId="0" borderId="0" xfId="23" applyNumberFormat="1" applyFont="1" applyBorder="1" applyAlignment="1">
      <alignment horizontal="center" vertical="center"/>
    </xf>
    <xf numFmtId="0" fontId="41" fillId="0" borderId="0" xfId="0" applyFont="1" applyAlignment="1">
      <alignment horizontal="center" wrapText="1"/>
    </xf>
  </cellXfs>
  <cellStyles count="166">
    <cellStyle name="Moeda" xfId="26" builtinId="4"/>
    <cellStyle name="Moeda 2" xfId="15"/>
    <cellStyle name="Moeda 3" xfId="34"/>
    <cellStyle name="Moeda 4" xfId="82"/>
    <cellStyle name="Normal" xfId="0" builtinId="0"/>
    <cellStyle name="Normal 10" xfId="165"/>
    <cellStyle name="Normal 2" xfId="4"/>
    <cellStyle name="Normal 2 2" xfId="23"/>
    <cellStyle name="Normal 2 2 2" xfId="29"/>
    <cellStyle name="Normal 2 3" xfId="30"/>
    <cellStyle name="Normal 2 3 2" xfId="35"/>
    <cellStyle name="Normal 2 3 2 2" xfId="117"/>
    <cellStyle name="Normal 2 3 2 3" xfId="149"/>
    <cellStyle name="Normal 2 3 2 4" xfId="99"/>
    <cellStyle name="Normal 2 3 3" xfId="83"/>
    <cellStyle name="Normal 2 3 4" xfId="115"/>
    <cellStyle name="Normal 2 3 5" xfId="147"/>
    <cellStyle name="Normal 2 3 6" xfId="66"/>
    <cellStyle name="Normal 2 4" xfId="36"/>
    <cellStyle name="Normal 2 4 2" xfId="118"/>
    <cellStyle name="Normal 2 4 3" xfId="150"/>
    <cellStyle name="Normal 2 4 4" xfId="84"/>
    <cellStyle name="Normal 2 5" xfId="37"/>
    <cellStyle name="Normal 2 5 2" xfId="119"/>
    <cellStyle name="Normal 2 5 3" xfId="151"/>
    <cellStyle name="Normal 2 5 4" xfId="85"/>
    <cellStyle name="Normal 2 6" xfId="68"/>
    <cellStyle name="Normal 2 7" xfId="101"/>
    <cellStyle name="Normal 2 8" xfId="133"/>
    <cellStyle name="Normal 2 9" xfId="52"/>
    <cellStyle name="Normal 205" xfId="31"/>
    <cellStyle name="Normal 3" xfId="6"/>
    <cellStyle name="Normal 3 2" xfId="11"/>
    <cellStyle name="Normal 3 3" xfId="28"/>
    <cellStyle name="Normal 3 4" xfId="38"/>
    <cellStyle name="Normal 3 4 2" xfId="120"/>
    <cellStyle name="Normal 3 4 3" xfId="152"/>
    <cellStyle name="Normal 3 4 4" xfId="87"/>
    <cellStyle name="Normal 3 5" xfId="70"/>
    <cellStyle name="Normal 3 6" xfId="103"/>
    <cellStyle name="Normal 3 7" xfId="135"/>
    <cellStyle name="Normal 3 8" xfId="54"/>
    <cellStyle name="Normal 4" xfId="9"/>
    <cellStyle name="Normal 4 2" xfId="12"/>
    <cellStyle name="Normal 4 2 2" xfId="39"/>
    <cellStyle name="Normal 4 2 2 2" xfId="121"/>
    <cellStyle name="Normal 4 2 2 3" xfId="153"/>
    <cellStyle name="Normal 4 2 2 4" xfId="92"/>
    <cellStyle name="Normal 4 2 3" xfId="75"/>
    <cellStyle name="Normal 4 2 4" xfId="108"/>
    <cellStyle name="Normal 4 2 5" xfId="140"/>
    <cellStyle name="Normal 4 2 6" xfId="59"/>
    <cellStyle name="Normal 4 3" xfId="40"/>
    <cellStyle name="Normal 4 3 2" xfId="122"/>
    <cellStyle name="Normal 4 3 3" xfId="154"/>
    <cellStyle name="Normal 4 3 4" xfId="90"/>
    <cellStyle name="Normal 4 4" xfId="73"/>
    <cellStyle name="Normal 4 5" xfId="106"/>
    <cellStyle name="Normal 4 6" xfId="138"/>
    <cellStyle name="Normal 4 7" xfId="57"/>
    <cellStyle name="Normal 5" xfId="17"/>
    <cellStyle name="Normal 5 2" xfId="41"/>
    <cellStyle name="Normal 5 2 2" xfId="123"/>
    <cellStyle name="Normal 5 2 3" xfId="155"/>
    <cellStyle name="Normal 5 2 4" xfId="93"/>
    <cellStyle name="Normal 5 3" xfId="76"/>
    <cellStyle name="Normal 5 4" xfId="109"/>
    <cellStyle name="Normal 5 5" xfId="141"/>
    <cellStyle name="Normal 5 6" xfId="60"/>
    <cellStyle name="Normal 6" xfId="19"/>
    <cellStyle name="Normal 6 2" xfId="42"/>
    <cellStyle name="Normal 6 2 2" xfId="124"/>
    <cellStyle name="Normal 6 2 3" xfId="156"/>
    <cellStyle name="Normal 6 2 4" xfId="95"/>
    <cellStyle name="Normal 6 3" xfId="78"/>
    <cellStyle name="Normal 6 4" xfId="111"/>
    <cellStyle name="Normal 6 5" xfId="143"/>
    <cellStyle name="Normal 6 6" xfId="62"/>
    <cellStyle name="Normal 7" xfId="21"/>
    <cellStyle name="Normal 7 2" xfId="43"/>
    <cellStyle name="Normal 7 2 2" xfId="125"/>
    <cellStyle name="Normal 7 2 3" xfId="157"/>
    <cellStyle name="Normal 7 2 4" xfId="97"/>
    <cellStyle name="Normal 7 3" xfId="33"/>
    <cellStyle name="Normal 7 3 2" xfId="116"/>
    <cellStyle name="Normal 7 3 3" xfId="148"/>
    <cellStyle name="Normal 7 3 4" xfId="100"/>
    <cellStyle name="Normal 7 4" xfId="80"/>
    <cellStyle name="Normal 7 5" xfId="113"/>
    <cellStyle name="Normal 7 6" xfId="145"/>
    <cellStyle name="Normal 7 7" xfId="64"/>
    <cellStyle name="Normal 8" xfId="22"/>
    <cellStyle name="Normal 9" xfId="25"/>
    <cellStyle name="Normal 9 2" xfId="44"/>
    <cellStyle name="Normal 9 2 2" xfId="126"/>
    <cellStyle name="Normal 9 2 3" xfId="158"/>
    <cellStyle name="Normal 9 2 4" xfId="98"/>
    <cellStyle name="Normal 9 3" xfId="81"/>
    <cellStyle name="Normal 9 4" xfId="114"/>
    <cellStyle name="Normal 9 5" xfId="146"/>
    <cellStyle name="Normal 9 6" xfId="65"/>
    <cellStyle name="Porcentagem" xfId="2" builtinId="5"/>
    <cellStyle name="Porcentagem 2" xfId="8"/>
    <cellStyle name="Porcentagem 2 2" xfId="13"/>
    <cellStyle name="Porcentagem 2 3" xfId="45"/>
    <cellStyle name="Porcentagem 2 3 2" xfId="127"/>
    <cellStyle name="Porcentagem 2 3 3" xfId="159"/>
    <cellStyle name="Porcentagem 2 3 4" xfId="89"/>
    <cellStyle name="Porcentagem 2 4" xfId="72"/>
    <cellStyle name="Porcentagem 2 5" xfId="105"/>
    <cellStyle name="Porcentagem 2 6" xfId="137"/>
    <cellStyle name="Porcentagem 2 7" xfId="56"/>
    <cellStyle name="Porcentagem 3" xfId="16"/>
    <cellStyle name="Porcentagem 4" xfId="24"/>
    <cellStyle name="Separador de milhares 2" xfId="5"/>
    <cellStyle name="Separador de milhares 2 2" xfId="46"/>
    <cellStyle name="Separador de milhares 2 2 2" xfId="128"/>
    <cellStyle name="Separador de milhares 2 2 3" xfId="160"/>
    <cellStyle name="Separador de milhares 2 2 4" xfId="86"/>
    <cellStyle name="Separador de milhares 2 3" xfId="69"/>
    <cellStyle name="Separador de milhares 2 4" xfId="102"/>
    <cellStyle name="Separador de milhares 2 5" xfId="134"/>
    <cellStyle name="Separador de milhares 2 6" xfId="53"/>
    <cellStyle name="Separador de milhares 3" xfId="7"/>
    <cellStyle name="Separador de milhares 3 2" xfId="47"/>
    <cellStyle name="Separador de milhares 3 2 2" xfId="129"/>
    <cellStyle name="Separador de milhares 3 2 3" xfId="161"/>
    <cellStyle name="Separador de milhares 3 2 4" xfId="88"/>
    <cellStyle name="Separador de milhares 3 3" xfId="71"/>
    <cellStyle name="Separador de milhares 3 4" xfId="104"/>
    <cellStyle name="Separador de milhares 3 5" xfId="136"/>
    <cellStyle name="Separador de milhares 3 6" xfId="55"/>
    <cellStyle name="Separador de milhares 4" xfId="10"/>
    <cellStyle name="Separador de milhares 4 2" xfId="3"/>
    <cellStyle name="Separador de milhares 4 2 2" xfId="48"/>
    <cellStyle name="Separador de milhares 4 2 3" xfId="67"/>
    <cellStyle name="Separador de milhares 4 3" xfId="49"/>
    <cellStyle name="Separador de milhares 4 3 2" xfId="130"/>
    <cellStyle name="Separador de milhares 4 3 3" xfId="162"/>
    <cellStyle name="Separador de milhares 4 3 4" xfId="91"/>
    <cellStyle name="Separador de milhares 4 4" xfId="74"/>
    <cellStyle name="Separador de milhares 4 5" xfId="107"/>
    <cellStyle name="Separador de milhares 4 6" xfId="139"/>
    <cellStyle name="Separador de milhares 4 7" xfId="58"/>
    <cellStyle name="Separador de milhares 5" xfId="18"/>
    <cellStyle name="Separador de milhares 5 2" xfId="50"/>
    <cellStyle name="Separador de milhares 5 2 2" xfId="131"/>
    <cellStyle name="Separador de milhares 5 2 3" xfId="163"/>
    <cellStyle name="Separador de milhares 5 2 4" xfId="94"/>
    <cellStyle name="Separador de milhares 5 3" xfId="77"/>
    <cellStyle name="Separador de milhares 5 4" xfId="110"/>
    <cellStyle name="Separador de milhares 5 5" xfId="142"/>
    <cellStyle name="Separador de milhares 5 6" xfId="61"/>
    <cellStyle name="Separador de milhares 6" xfId="20"/>
    <cellStyle name="Separador de milhares 6 2" xfId="51"/>
    <cellStyle name="Separador de milhares 6 2 2" xfId="132"/>
    <cellStyle name="Separador de milhares 6 2 3" xfId="164"/>
    <cellStyle name="Separador de milhares 6 2 4" xfId="96"/>
    <cellStyle name="Separador de milhares 6 3" xfId="79"/>
    <cellStyle name="Separador de milhares 6 4" xfId="112"/>
    <cellStyle name="Separador de milhares 6 5" xfId="144"/>
    <cellStyle name="Separador de milhares 6 6" xfId="63"/>
    <cellStyle name="Vírgula" xfId="1" builtinId="3"/>
    <cellStyle name="Vírgula 2" xfId="14"/>
    <cellStyle name="Vírgula 3" xfId="27"/>
    <cellStyle name="Vírgula 4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2667000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37486</xdr:colOff>
      <xdr:row>41</xdr:row>
      <xdr:rowOff>8694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14286" cy="664761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K33"/>
  <sheetViews>
    <sheetView view="pageBreakPreview" topLeftCell="A17" zoomScale="60" zoomScaleNormal="55" workbookViewId="0">
      <selection activeCell="I33" sqref="I33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194" width="9.140625" style="11"/>
    <col min="195" max="195" width="14.7109375" style="11" customWidth="1"/>
    <col min="196" max="196" width="40.7109375" style="11" customWidth="1"/>
    <col min="197" max="197" width="6.7109375" style="11" customWidth="1"/>
    <col min="198" max="200" width="12.7109375" style="11" customWidth="1"/>
    <col min="201" max="201" width="14.7109375" style="11" customWidth="1"/>
    <col min="202" max="203" width="15.7109375" style="11" customWidth="1"/>
    <col min="204" max="207" width="12.7109375" style="11" customWidth="1"/>
    <col min="208" max="450" width="9.140625" style="11"/>
    <col min="451" max="451" width="14.7109375" style="11" customWidth="1"/>
    <col min="452" max="452" width="40.7109375" style="11" customWidth="1"/>
    <col min="453" max="453" width="6.7109375" style="11" customWidth="1"/>
    <col min="454" max="456" width="12.7109375" style="11" customWidth="1"/>
    <col min="457" max="457" width="14.7109375" style="11" customWidth="1"/>
    <col min="458" max="459" width="15.7109375" style="11" customWidth="1"/>
    <col min="460" max="463" width="12.7109375" style="11" customWidth="1"/>
    <col min="464" max="706" width="9.140625" style="11"/>
    <col min="707" max="707" width="14.7109375" style="11" customWidth="1"/>
    <col min="708" max="708" width="40.7109375" style="11" customWidth="1"/>
    <col min="709" max="709" width="6.7109375" style="11" customWidth="1"/>
    <col min="710" max="712" width="12.7109375" style="11" customWidth="1"/>
    <col min="713" max="713" width="14.7109375" style="11" customWidth="1"/>
    <col min="714" max="715" width="15.7109375" style="11" customWidth="1"/>
    <col min="716" max="719" width="12.7109375" style="11" customWidth="1"/>
    <col min="720" max="962" width="9.140625" style="11"/>
    <col min="963" max="963" width="14.7109375" style="11" customWidth="1"/>
    <col min="964" max="964" width="40.7109375" style="11" customWidth="1"/>
    <col min="965" max="965" width="6.7109375" style="11" customWidth="1"/>
    <col min="966" max="968" width="12.7109375" style="11" customWidth="1"/>
    <col min="969" max="969" width="14.7109375" style="11" customWidth="1"/>
    <col min="970" max="971" width="15.7109375" style="11" customWidth="1"/>
    <col min="972" max="975" width="12.7109375" style="11" customWidth="1"/>
    <col min="976" max="1218" width="9.140625" style="11"/>
    <col min="1219" max="1219" width="14.7109375" style="11" customWidth="1"/>
    <col min="1220" max="1220" width="40.7109375" style="11" customWidth="1"/>
    <col min="1221" max="1221" width="6.7109375" style="11" customWidth="1"/>
    <col min="1222" max="1224" width="12.7109375" style="11" customWidth="1"/>
    <col min="1225" max="1225" width="14.7109375" style="11" customWidth="1"/>
    <col min="1226" max="1227" width="15.7109375" style="11" customWidth="1"/>
    <col min="1228" max="1231" width="12.7109375" style="11" customWidth="1"/>
    <col min="1232" max="1474" width="9.140625" style="11"/>
    <col min="1475" max="1475" width="14.7109375" style="11" customWidth="1"/>
    <col min="1476" max="1476" width="40.7109375" style="11" customWidth="1"/>
    <col min="1477" max="1477" width="6.7109375" style="11" customWidth="1"/>
    <col min="1478" max="1480" width="12.7109375" style="11" customWidth="1"/>
    <col min="1481" max="1481" width="14.7109375" style="11" customWidth="1"/>
    <col min="1482" max="1483" width="15.7109375" style="11" customWidth="1"/>
    <col min="1484" max="1487" width="12.7109375" style="11" customWidth="1"/>
    <col min="1488" max="1730" width="9.140625" style="11"/>
    <col min="1731" max="1731" width="14.7109375" style="11" customWidth="1"/>
    <col min="1732" max="1732" width="40.7109375" style="11" customWidth="1"/>
    <col min="1733" max="1733" width="6.7109375" style="11" customWidth="1"/>
    <col min="1734" max="1736" width="12.7109375" style="11" customWidth="1"/>
    <col min="1737" max="1737" width="14.7109375" style="11" customWidth="1"/>
    <col min="1738" max="1739" width="15.7109375" style="11" customWidth="1"/>
    <col min="1740" max="1743" width="12.7109375" style="11" customWidth="1"/>
    <col min="1744" max="1986" width="9.140625" style="11"/>
    <col min="1987" max="1987" width="14.7109375" style="11" customWidth="1"/>
    <col min="1988" max="1988" width="40.7109375" style="11" customWidth="1"/>
    <col min="1989" max="1989" width="6.7109375" style="11" customWidth="1"/>
    <col min="1990" max="1992" width="12.7109375" style="11" customWidth="1"/>
    <col min="1993" max="1993" width="14.7109375" style="11" customWidth="1"/>
    <col min="1994" max="1995" width="15.7109375" style="11" customWidth="1"/>
    <col min="1996" max="1999" width="12.7109375" style="11" customWidth="1"/>
    <col min="2000" max="2242" width="9.140625" style="11"/>
    <col min="2243" max="2243" width="14.7109375" style="11" customWidth="1"/>
    <col min="2244" max="2244" width="40.7109375" style="11" customWidth="1"/>
    <col min="2245" max="2245" width="6.7109375" style="11" customWidth="1"/>
    <col min="2246" max="2248" width="12.7109375" style="11" customWidth="1"/>
    <col min="2249" max="2249" width="14.7109375" style="11" customWidth="1"/>
    <col min="2250" max="2251" width="15.7109375" style="11" customWidth="1"/>
    <col min="2252" max="2255" width="12.7109375" style="11" customWidth="1"/>
    <col min="2256" max="2498" width="9.140625" style="11"/>
    <col min="2499" max="2499" width="14.7109375" style="11" customWidth="1"/>
    <col min="2500" max="2500" width="40.7109375" style="11" customWidth="1"/>
    <col min="2501" max="2501" width="6.7109375" style="11" customWidth="1"/>
    <col min="2502" max="2504" width="12.7109375" style="11" customWidth="1"/>
    <col min="2505" max="2505" width="14.7109375" style="11" customWidth="1"/>
    <col min="2506" max="2507" width="15.7109375" style="11" customWidth="1"/>
    <col min="2508" max="2511" width="12.7109375" style="11" customWidth="1"/>
    <col min="2512" max="2754" width="9.140625" style="11"/>
    <col min="2755" max="2755" width="14.7109375" style="11" customWidth="1"/>
    <col min="2756" max="2756" width="40.7109375" style="11" customWidth="1"/>
    <col min="2757" max="2757" width="6.7109375" style="11" customWidth="1"/>
    <col min="2758" max="2760" width="12.7109375" style="11" customWidth="1"/>
    <col min="2761" max="2761" width="14.7109375" style="11" customWidth="1"/>
    <col min="2762" max="2763" width="15.7109375" style="11" customWidth="1"/>
    <col min="2764" max="2767" width="12.7109375" style="11" customWidth="1"/>
    <col min="2768" max="3010" width="9.140625" style="11"/>
    <col min="3011" max="3011" width="14.7109375" style="11" customWidth="1"/>
    <col min="3012" max="3012" width="40.7109375" style="11" customWidth="1"/>
    <col min="3013" max="3013" width="6.7109375" style="11" customWidth="1"/>
    <col min="3014" max="3016" width="12.7109375" style="11" customWidth="1"/>
    <col min="3017" max="3017" width="14.7109375" style="11" customWidth="1"/>
    <col min="3018" max="3019" width="15.7109375" style="11" customWidth="1"/>
    <col min="3020" max="3023" width="12.7109375" style="11" customWidth="1"/>
    <col min="3024" max="3266" width="9.140625" style="11"/>
    <col min="3267" max="3267" width="14.7109375" style="11" customWidth="1"/>
    <col min="3268" max="3268" width="40.7109375" style="11" customWidth="1"/>
    <col min="3269" max="3269" width="6.7109375" style="11" customWidth="1"/>
    <col min="3270" max="3272" width="12.7109375" style="11" customWidth="1"/>
    <col min="3273" max="3273" width="14.7109375" style="11" customWidth="1"/>
    <col min="3274" max="3275" width="15.7109375" style="11" customWidth="1"/>
    <col min="3276" max="3279" width="12.7109375" style="11" customWidth="1"/>
    <col min="3280" max="3522" width="9.140625" style="11"/>
    <col min="3523" max="3523" width="14.7109375" style="11" customWidth="1"/>
    <col min="3524" max="3524" width="40.7109375" style="11" customWidth="1"/>
    <col min="3525" max="3525" width="6.7109375" style="11" customWidth="1"/>
    <col min="3526" max="3528" width="12.7109375" style="11" customWidth="1"/>
    <col min="3529" max="3529" width="14.7109375" style="11" customWidth="1"/>
    <col min="3530" max="3531" width="15.7109375" style="11" customWidth="1"/>
    <col min="3532" max="3535" width="12.7109375" style="11" customWidth="1"/>
    <col min="3536" max="3778" width="9.140625" style="11"/>
    <col min="3779" max="3779" width="14.7109375" style="11" customWidth="1"/>
    <col min="3780" max="3780" width="40.7109375" style="11" customWidth="1"/>
    <col min="3781" max="3781" width="6.7109375" style="11" customWidth="1"/>
    <col min="3782" max="3784" width="12.7109375" style="11" customWidth="1"/>
    <col min="3785" max="3785" width="14.7109375" style="11" customWidth="1"/>
    <col min="3786" max="3787" width="15.7109375" style="11" customWidth="1"/>
    <col min="3788" max="3791" width="12.7109375" style="11" customWidth="1"/>
    <col min="3792" max="4034" width="9.140625" style="11"/>
    <col min="4035" max="4035" width="14.7109375" style="11" customWidth="1"/>
    <col min="4036" max="4036" width="40.7109375" style="11" customWidth="1"/>
    <col min="4037" max="4037" width="6.7109375" style="11" customWidth="1"/>
    <col min="4038" max="4040" width="12.7109375" style="11" customWidth="1"/>
    <col min="4041" max="4041" width="14.7109375" style="11" customWidth="1"/>
    <col min="4042" max="4043" width="15.7109375" style="11" customWidth="1"/>
    <col min="4044" max="4047" width="12.7109375" style="11" customWidth="1"/>
    <col min="4048" max="4290" width="9.140625" style="11"/>
    <col min="4291" max="4291" width="14.7109375" style="11" customWidth="1"/>
    <col min="4292" max="4292" width="40.7109375" style="11" customWidth="1"/>
    <col min="4293" max="4293" width="6.7109375" style="11" customWidth="1"/>
    <col min="4294" max="4296" width="12.7109375" style="11" customWidth="1"/>
    <col min="4297" max="4297" width="14.7109375" style="11" customWidth="1"/>
    <col min="4298" max="4299" width="15.7109375" style="11" customWidth="1"/>
    <col min="4300" max="4303" width="12.7109375" style="11" customWidth="1"/>
    <col min="4304" max="4546" width="9.140625" style="11"/>
    <col min="4547" max="4547" width="14.7109375" style="11" customWidth="1"/>
    <col min="4548" max="4548" width="40.7109375" style="11" customWidth="1"/>
    <col min="4549" max="4549" width="6.7109375" style="11" customWidth="1"/>
    <col min="4550" max="4552" width="12.7109375" style="11" customWidth="1"/>
    <col min="4553" max="4553" width="14.7109375" style="11" customWidth="1"/>
    <col min="4554" max="4555" width="15.7109375" style="11" customWidth="1"/>
    <col min="4556" max="4559" width="12.7109375" style="11" customWidth="1"/>
    <col min="4560" max="4802" width="9.140625" style="11"/>
    <col min="4803" max="4803" width="14.7109375" style="11" customWidth="1"/>
    <col min="4804" max="4804" width="40.7109375" style="11" customWidth="1"/>
    <col min="4805" max="4805" width="6.7109375" style="11" customWidth="1"/>
    <col min="4806" max="4808" width="12.7109375" style="11" customWidth="1"/>
    <col min="4809" max="4809" width="14.7109375" style="11" customWidth="1"/>
    <col min="4810" max="4811" width="15.7109375" style="11" customWidth="1"/>
    <col min="4812" max="4815" width="12.7109375" style="11" customWidth="1"/>
    <col min="4816" max="5058" width="9.140625" style="11"/>
    <col min="5059" max="5059" width="14.7109375" style="11" customWidth="1"/>
    <col min="5060" max="5060" width="40.7109375" style="11" customWidth="1"/>
    <col min="5061" max="5061" width="6.7109375" style="11" customWidth="1"/>
    <col min="5062" max="5064" width="12.7109375" style="11" customWidth="1"/>
    <col min="5065" max="5065" width="14.7109375" style="11" customWidth="1"/>
    <col min="5066" max="5067" width="15.7109375" style="11" customWidth="1"/>
    <col min="5068" max="5071" width="12.7109375" style="11" customWidth="1"/>
    <col min="5072" max="5314" width="9.140625" style="11"/>
    <col min="5315" max="5315" width="14.7109375" style="11" customWidth="1"/>
    <col min="5316" max="5316" width="40.7109375" style="11" customWidth="1"/>
    <col min="5317" max="5317" width="6.7109375" style="11" customWidth="1"/>
    <col min="5318" max="5320" width="12.7109375" style="11" customWidth="1"/>
    <col min="5321" max="5321" width="14.7109375" style="11" customWidth="1"/>
    <col min="5322" max="5323" width="15.7109375" style="11" customWidth="1"/>
    <col min="5324" max="5327" width="12.7109375" style="11" customWidth="1"/>
    <col min="5328" max="5570" width="9.140625" style="11"/>
    <col min="5571" max="5571" width="14.7109375" style="11" customWidth="1"/>
    <col min="5572" max="5572" width="40.7109375" style="11" customWidth="1"/>
    <col min="5573" max="5573" width="6.7109375" style="11" customWidth="1"/>
    <col min="5574" max="5576" width="12.7109375" style="11" customWidth="1"/>
    <col min="5577" max="5577" width="14.7109375" style="11" customWidth="1"/>
    <col min="5578" max="5579" width="15.7109375" style="11" customWidth="1"/>
    <col min="5580" max="5583" width="12.7109375" style="11" customWidth="1"/>
    <col min="5584" max="5826" width="9.140625" style="11"/>
    <col min="5827" max="5827" width="14.7109375" style="11" customWidth="1"/>
    <col min="5828" max="5828" width="40.7109375" style="11" customWidth="1"/>
    <col min="5829" max="5829" width="6.7109375" style="11" customWidth="1"/>
    <col min="5830" max="5832" width="12.7109375" style="11" customWidth="1"/>
    <col min="5833" max="5833" width="14.7109375" style="11" customWidth="1"/>
    <col min="5834" max="5835" width="15.7109375" style="11" customWidth="1"/>
    <col min="5836" max="5839" width="12.7109375" style="11" customWidth="1"/>
    <col min="5840" max="6082" width="9.140625" style="11"/>
    <col min="6083" max="6083" width="14.7109375" style="11" customWidth="1"/>
    <col min="6084" max="6084" width="40.7109375" style="11" customWidth="1"/>
    <col min="6085" max="6085" width="6.7109375" style="11" customWidth="1"/>
    <col min="6086" max="6088" width="12.7109375" style="11" customWidth="1"/>
    <col min="6089" max="6089" width="14.7109375" style="11" customWidth="1"/>
    <col min="6090" max="6091" width="15.7109375" style="11" customWidth="1"/>
    <col min="6092" max="6095" width="12.7109375" style="11" customWidth="1"/>
    <col min="6096" max="6338" width="9.140625" style="11"/>
    <col min="6339" max="6339" width="14.7109375" style="11" customWidth="1"/>
    <col min="6340" max="6340" width="40.7109375" style="11" customWidth="1"/>
    <col min="6341" max="6341" width="6.7109375" style="11" customWidth="1"/>
    <col min="6342" max="6344" width="12.7109375" style="11" customWidth="1"/>
    <col min="6345" max="6345" width="14.7109375" style="11" customWidth="1"/>
    <col min="6346" max="6347" width="15.7109375" style="11" customWidth="1"/>
    <col min="6348" max="6351" width="12.7109375" style="11" customWidth="1"/>
    <col min="6352" max="6594" width="9.140625" style="11"/>
    <col min="6595" max="6595" width="14.7109375" style="11" customWidth="1"/>
    <col min="6596" max="6596" width="40.7109375" style="11" customWidth="1"/>
    <col min="6597" max="6597" width="6.7109375" style="11" customWidth="1"/>
    <col min="6598" max="6600" width="12.7109375" style="11" customWidth="1"/>
    <col min="6601" max="6601" width="14.7109375" style="11" customWidth="1"/>
    <col min="6602" max="6603" width="15.7109375" style="11" customWidth="1"/>
    <col min="6604" max="6607" width="12.7109375" style="11" customWidth="1"/>
    <col min="6608" max="6850" width="9.140625" style="11"/>
    <col min="6851" max="6851" width="14.7109375" style="11" customWidth="1"/>
    <col min="6852" max="6852" width="40.7109375" style="11" customWidth="1"/>
    <col min="6853" max="6853" width="6.7109375" style="11" customWidth="1"/>
    <col min="6854" max="6856" width="12.7109375" style="11" customWidth="1"/>
    <col min="6857" max="6857" width="14.7109375" style="11" customWidth="1"/>
    <col min="6858" max="6859" width="15.7109375" style="11" customWidth="1"/>
    <col min="6860" max="6863" width="12.7109375" style="11" customWidth="1"/>
    <col min="6864" max="7106" width="9.140625" style="11"/>
    <col min="7107" max="7107" width="14.7109375" style="11" customWidth="1"/>
    <col min="7108" max="7108" width="40.7109375" style="11" customWidth="1"/>
    <col min="7109" max="7109" width="6.7109375" style="11" customWidth="1"/>
    <col min="7110" max="7112" width="12.7109375" style="11" customWidth="1"/>
    <col min="7113" max="7113" width="14.7109375" style="11" customWidth="1"/>
    <col min="7114" max="7115" width="15.7109375" style="11" customWidth="1"/>
    <col min="7116" max="7119" width="12.7109375" style="11" customWidth="1"/>
    <col min="7120" max="7362" width="9.140625" style="11"/>
    <col min="7363" max="7363" width="14.7109375" style="11" customWidth="1"/>
    <col min="7364" max="7364" width="40.7109375" style="11" customWidth="1"/>
    <col min="7365" max="7365" width="6.7109375" style="11" customWidth="1"/>
    <col min="7366" max="7368" width="12.7109375" style="11" customWidth="1"/>
    <col min="7369" max="7369" width="14.7109375" style="11" customWidth="1"/>
    <col min="7370" max="7371" width="15.7109375" style="11" customWidth="1"/>
    <col min="7372" max="7375" width="12.7109375" style="11" customWidth="1"/>
    <col min="7376" max="7618" width="9.140625" style="11"/>
    <col min="7619" max="7619" width="14.7109375" style="11" customWidth="1"/>
    <col min="7620" max="7620" width="40.7109375" style="11" customWidth="1"/>
    <col min="7621" max="7621" width="6.7109375" style="11" customWidth="1"/>
    <col min="7622" max="7624" width="12.7109375" style="11" customWidth="1"/>
    <col min="7625" max="7625" width="14.7109375" style="11" customWidth="1"/>
    <col min="7626" max="7627" width="15.7109375" style="11" customWidth="1"/>
    <col min="7628" max="7631" width="12.7109375" style="11" customWidth="1"/>
    <col min="7632" max="7874" width="9.140625" style="11"/>
    <col min="7875" max="7875" width="14.7109375" style="11" customWidth="1"/>
    <col min="7876" max="7876" width="40.7109375" style="11" customWidth="1"/>
    <col min="7877" max="7877" width="6.7109375" style="11" customWidth="1"/>
    <col min="7878" max="7880" width="12.7109375" style="11" customWidth="1"/>
    <col min="7881" max="7881" width="14.7109375" style="11" customWidth="1"/>
    <col min="7882" max="7883" width="15.7109375" style="11" customWidth="1"/>
    <col min="7884" max="7887" width="12.7109375" style="11" customWidth="1"/>
    <col min="7888" max="8130" width="9.140625" style="11"/>
    <col min="8131" max="8131" width="14.7109375" style="11" customWidth="1"/>
    <col min="8132" max="8132" width="40.7109375" style="11" customWidth="1"/>
    <col min="8133" max="8133" width="6.7109375" style="11" customWidth="1"/>
    <col min="8134" max="8136" width="12.7109375" style="11" customWidth="1"/>
    <col min="8137" max="8137" width="14.7109375" style="11" customWidth="1"/>
    <col min="8138" max="8139" width="15.7109375" style="11" customWidth="1"/>
    <col min="8140" max="8143" width="12.7109375" style="11" customWidth="1"/>
    <col min="8144" max="8386" width="9.140625" style="11"/>
    <col min="8387" max="8387" width="14.7109375" style="11" customWidth="1"/>
    <col min="8388" max="8388" width="40.7109375" style="11" customWidth="1"/>
    <col min="8389" max="8389" width="6.7109375" style="11" customWidth="1"/>
    <col min="8390" max="8392" width="12.7109375" style="11" customWidth="1"/>
    <col min="8393" max="8393" width="14.7109375" style="11" customWidth="1"/>
    <col min="8394" max="8395" width="15.7109375" style="11" customWidth="1"/>
    <col min="8396" max="8399" width="12.7109375" style="11" customWidth="1"/>
    <col min="8400" max="8642" width="9.140625" style="11"/>
    <col min="8643" max="8643" width="14.7109375" style="11" customWidth="1"/>
    <col min="8644" max="8644" width="40.7109375" style="11" customWidth="1"/>
    <col min="8645" max="8645" width="6.7109375" style="11" customWidth="1"/>
    <col min="8646" max="8648" width="12.7109375" style="11" customWidth="1"/>
    <col min="8649" max="8649" width="14.7109375" style="11" customWidth="1"/>
    <col min="8650" max="8651" width="15.7109375" style="11" customWidth="1"/>
    <col min="8652" max="8655" width="12.7109375" style="11" customWidth="1"/>
    <col min="8656" max="8898" width="9.140625" style="11"/>
    <col min="8899" max="8899" width="14.7109375" style="11" customWidth="1"/>
    <col min="8900" max="8900" width="40.7109375" style="11" customWidth="1"/>
    <col min="8901" max="8901" width="6.7109375" style="11" customWidth="1"/>
    <col min="8902" max="8904" width="12.7109375" style="11" customWidth="1"/>
    <col min="8905" max="8905" width="14.7109375" style="11" customWidth="1"/>
    <col min="8906" max="8907" width="15.7109375" style="11" customWidth="1"/>
    <col min="8908" max="8911" width="12.7109375" style="11" customWidth="1"/>
    <col min="8912" max="9154" width="9.140625" style="11"/>
    <col min="9155" max="9155" width="14.7109375" style="11" customWidth="1"/>
    <col min="9156" max="9156" width="40.7109375" style="11" customWidth="1"/>
    <col min="9157" max="9157" width="6.7109375" style="11" customWidth="1"/>
    <col min="9158" max="9160" width="12.7109375" style="11" customWidth="1"/>
    <col min="9161" max="9161" width="14.7109375" style="11" customWidth="1"/>
    <col min="9162" max="9163" width="15.7109375" style="11" customWidth="1"/>
    <col min="9164" max="9167" width="12.7109375" style="11" customWidth="1"/>
    <col min="9168" max="9410" width="9.140625" style="11"/>
    <col min="9411" max="9411" width="14.7109375" style="11" customWidth="1"/>
    <col min="9412" max="9412" width="40.7109375" style="11" customWidth="1"/>
    <col min="9413" max="9413" width="6.7109375" style="11" customWidth="1"/>
    <col min="9414" max="9416" width="12.7109375" style="11" customWidth="1"/>
    <col min="9417" max="9417" width="14.7109375" style="11" customWidth="1"/>
    <col min="9418" max="9419" width="15.7109375" style="11" customWidth="1"/>
    <col min="9420" max="9423" width="12.7109375" style="11" customWidth="1"/>
    <col min="9424" max="9666" width="9.140625" style="11"/>
    <col min="9667" max="9667" width="14.7109375" style="11" customWidth="1"/>
    <col min="9668" max="9668" width="40.7109375" style="11" customWidth="1"/>
    <col min="9669" max="9669" width="6.7109375" style="11" customWidth="1"/>
    <col min="9670" max="9672" width="12.7109375" style="11" customWidth="1"/>
    <col min="9673" max="9673" width="14.7109375" style="11" customWidth="1"/>
    <col min="9674" max="9675" width="15.7109375" style="11" customWidth="1"/>
    <col min="9676" max="9679" width="12.7109375" style="11" customWidth="1"/>
    <col min="9680" max="9922" width="9.140625" style="11"/>
    <col min="9923" max="9923" width="14.7109375" style="11" customWidth="1"/>
    <col min="9924" max="9924" width="40.7109375" style="11" customWidth="1"/>
    <col min="9925" max="9925" width="6.7109375" style="11" customWidth="1"/>
    <col min="9926" max="9928" width="12.7109375" style="11" customWidth="1"/>
    <col min="9929" max="9929" width="14.7109375" style="11" customWidth="1"/>
    <col min="9930" max="9931" width="15.7109375" style="11" customWidth="1"/>
    <col min="9932" max="9935" width="12.7109375" style="11" customWidth="1"/>
    <col min="9936" max="10178" width="9.140625" style="11"/>
    <col min="10179" max="10179" width="14.7109375" style="11" customWidth="1"/>
    <col min="10180" max="10180" width="40.7109375" style="11" customWidth="1"/>
    <col min="10181" max="10181" width="6.7109375" style="11" customWidth="1"/>
    <col min="10182" max="10184" width="12.7109375" style="11" customWidth="1"/>
    <col min="10185" max="10185" width="14.7109375" style="11" customWidth="1"/>
    <col min="10186" max="10187" width="15.7109375" style="11" customWidth="1"/>
    <col min="10188" max="10191" width="12.7109375" style="11" customWidth="1"/>
    <col min="10192" max="10434" width="9.140625" style="11"/>
    <col min="10435" max="10435" width="14.7109375" style="11" customWidth="1"/>
    <col min="10436" max="10436" width="40.7109375" style="11" customWidth="1"/>
    <col min="10437" max="10437" width="6.7109375" style="11" customWidth="1"/>
    <col min="10438" max="10440" width="12.7109375" style="11" customWidth="1"/>
    <col min="10441" max="10441" width="14.7109375" style="11" customWidth="1"/>
    <col min="10442" max="10443" width="15.7109375" style="11" customWidth="1"/>
    <col min="10444" max="10447" width="12.7109375" style="11" customWidth="1"/>
    <col min="10448" max="10690" width="9.140625" style="11"/>
    <col min="10691" max="10691" width="14.7109375" style="11" customWidth="1"/>
    <col min="10692" max="10692" width="40.7109375" style="11" customWidth="1"/>
    <col min="10693" max="10693" width="6.7109375" style="11" customWidth="1"/>
    <col min="10694" max="10696" width="12.7109375" style="11" customWidth="1"/>
    <col min="10697" max="10697" width="14.7109375" style="11" customWidth="1"/>
    <col min="10698" max="10699" width="15.7109375" style="11" customWidth="1"/>
    <col min="10700" max="10703" width="12.7109375" style="11" customWidth="1"/>
    <col min="10704" max="10946" width="9.140625" style="11"/>
    <col min="10947" max="10947" width="14.7109375" style="11" customWidth="1"/>
    <col min="10948" max="10948" width="40.7109375" style="11" customWidth="1"/>
    <col min="10949" max="10949" width="6.7109375" style="11" customWidth="1"/>
    <col min="10950" max="10952" width="12.7109375" style="11" customWidth="1"/>
    <col min="10953" max="10953" width="14.7109375" style="11" customWidth="1"/>
    <col min="10954" max="10955" width="15.7109375" style="11" customWidth="1"/>
    <col min="10956" max="10959" width="12.7109375" style="11" customWidth="1"/>
    <col min="10960" max="11202" width="9.140625" style="11"/>
    <col min="11203" max="11203" width="14.7109375" style="11" customWidth="1"/>
    <col min="11204" max="11204" width="40.7109375" style="11" customWidth="1"/>
    <col min="11205" max="11205" width="6.7109375" style="11" customWidth="1"/>
    <col min="11206" max="11208" width="12.7109375" style="11" customWidth="1"/>
    <col min="11209" max="11209" width="14.7109375" style="11" customWidth="1"/>
    <col min="11210" max="11211" width="15.7109375" style="11" customWidth="1"/>
    <col min="11212" max="11215" width="12.7109375" style="11" customWidth="1"/>
    <col min="11216" max="11458" width="9.140625" style="11"/>
    <col min="11459" max="11459" width="14.7109375" style="11" customWidth="1"/>
    <col min="11460" max="11460" width="40.7109375" style="11" customWidth="1"/>
    <col min="11461" max="11461" width="6.7109375" style="11" customWidth="1"/>
    <col min="11462" max="11464" width="12.7109375" style="11" customWidth="1"/>
    <col min="11465" max="11465" width="14.7109375" style="11" customWidth="1"/>
    <col min="11466" max="11467" width="15.7109375" style="11" customWidth="1"/>
    <col min="11468" max="11471" width="12.7109375" style="11" customWidth="1"/>
    <col min="11472" max="11714" width="9.140625" style="11"/>
    <col min="11715" max="11715" width="14.7109375" style="11" customWidth="1"/>
    <col min="11716" max="11716" width="40.7109375" style="11" customWidth="1"/>
    <col min="11717" max="11717" width="6.7109375" style="11" customWidth="1"/>
    <col min="11718" max="11720" width="12.7109375" style="11" customWidth="1"/>
    <col min="11721" max="11721" width="14.7109375" style="11" customWidth="1"/>
    <col min="11722" max="11723" width="15.7109375" style="11" customWidth="1"/>
    <col min="11724" max="11727" width="12.7109375" style="11" customWidth="1"/>
    <col min="11728" max="11970" width="9.140625" style="11"/>
    <col min="11971" max="11971" width="14.7109375" style="11" customWidth="1"/>
    <col min="11972" max="11972" width="40.7109375" style="11" customWidth="1"/>
    <col min="11973" max="11973" width="6.7109375" style="11" customWidth="1"/>
    <col min="11974" max="11976" width="12.7109375" style="11" customWidth="1"/>
    <col min="11977" max="11977" width="14.7109375" style="11" customWidth="1"/>
    <col min="11978" max="11979" width="15.7109375" style="11" customWidth="1"/>
    <col min="11980" max="11983" width="12.7109375" style="11" customWidth="1"/>
    <col min="11984" max="12226" width="9.140625" style="11"/>
    <col min="12227" max="12227" width="14.7109375" style="11" customWidth="1"/>
    <col min="12228" max="12228" width="40.7109375" style="11" customWidth="1"/>
    <col min="12229" max="12229" width="6.7109375" style="11" customWidth="1"/>
    <col min="12230" max="12232" width="12.7109375" style="11" customWidth="1"/>
    <col min="12233" max="12233" width="14.7109375" style="11" customWidth="1"/>
    <col min="12234" max="12235" width="15.7109375" style="11" customWidth="1"/>
    <col min="12236" max="12239" width="12.7109375" style="11" customWidth="1"/>
    <col min="12240" max="12482" width="9.140625" style="11"/>
    <col min="12483" max="12483" width="14.7109375" style="11" customWidth="1"/>
    <col min="12484" max="12484" width="40.7109375" style="11" customWidth="1"/>
    <col min="12485" max="12485" width="6.7109375" style="11" customWidth="1"/>
    <col min="12486" max="12488" width="12.7109375" style="11" customWidth="1"/>
    <col min="12489" max="12489" width="14.7109375" style="11" customWidth="1"/>
    <col min="12490" max="12491" width="15.7109375" style="11" customWidth="1"/>
    <col min="12492" max="12495" width="12.7109375" style="11" customWidth="1"/>
    <col min="12496" max="12738" width="9.140625" style="11"/>
    <col min="12739" max="12739" width="14.7109375" style="11" customWidth="1"/>
    <col min="12740" max="12740" width="40.7109375" style="11" customWidth="1"/>
    <col min="12741" max="12741" width="6.7109375" style="11" customWidth="1"/>
    <col min="12742" max="12744" width="12.7109375" style="11" customWidth="1"/>
    <col min="12745" max="12745" width="14.7109375" style="11" customWidth="1"/>
    <col min="12746" max="12747" width="15.7109375" style="11" customWidth="1"/>
    <col min="12748" max="12751" width="12.7109375" style="11" customWidth="1"/>
    <col min="12752" max="12994" width="9.140625" style="11"/>
    <col min="12995" max="12995" width="14.7109375" style="11" customWidth="1"/>
    <col min="12996" max="12996" width="40.7109375" style="11" customWidth="1"/>
    <col min="12997" max="12997" width="6.7109375" style="11" customWidth="1"/>
    <col min="12998" max="13000" width="12.7109375" style="11" customWidth="1"/>
    <col min="13001" max="13001" width="14.7109375" style="11" customWidth="1"/>
    <col min="13002" max="13003" width="15.7109375" style="11" customWidth="1"/>
    <col min="13004" max="13007" width="12.7109375" style="11" customWidth="1"/>
    <col min="13008" max="13250" width="9.140625" style="11"/>
    <col min="13251" max="13251" width="14.7109375" style="11" customWidth="1"/>
    <col min="13252" max="13252" width="40.7109375" style="11" customWidth="1"/>
    <col min="13253" max="13253" width="6.7109375" style="11" customWidth="1"/>
    <col min="13254" max="13256" width="12.7109375" style="11" customWidth="1"/>
    <col min="13257" max="13257" width="14.7109375" style="11" customWidth="1"/>
    <col min="13258" max="13259" width="15.7109375" style="11" customWidth="1"/>
    <col min="13260" max="13263" width="12.7109375" style="11" customWidth="1"/>
    <col min="13264" max="13506" width="9.140625" style="11"/>
    <col min="13507" max="13507" width="14.7109375" style="11" customWidth="1"/>
    <col min="13508" max="13508" width="40.7109375" style="11" customWidth="1"/>
    <col min="13509" max="13509" width="6.7109375" style="11" customWidth="1"/>
    <col min="13510" max="13512" width="12.7109375" style="11" customWidth="1"/>
    <col min="13513" max="13513" width="14.7109375" style="11" customWidth="1"/>
    <col min="13514" max="13515" width="15.7109375" style="11" customWidth="1"/>
    <col min="13516" max="13519" width="12.7109375" style="11" customWidth="1"/>
    <col min="13520" max="13762" width="9.140625" style="11"/>
    <col min="13763" max="13763" width="14.7109375" style="11" customWidth="1"/>
    <col min="13764" max="13764" width="40.7109375" style="11" customWidth="1"/>
    <col min="13765" max="13765" width="6.7109375" style="11" customWidth="1"/>
    <col min="13766" max="13768" width="12.7109375" style="11" customWidth="1"/>
    <col min="13769" max="13769" width="14.7109375" style="11" customWidth="1"/>
    <col min="13770" max="13771" width="15.7109375" style="11" customWidth="1"/>
    <col min="13772" max="13775" width="12.7109375" style="11" customWidth="1"/>
    <col min="13776" max="14018" width="9.140625" style="11"/>
    <col min="14019" max="14019" width="14.7109375" style="11" customWidth="1"/>
    <col min="14020" max="14020" width="40.7109375" style="11" customWidth="1"/>
    <col min="14021" max="14021" width="6.7109375" style="11" customWidth="1"/>
    <col min="14022" max="14024" width="12.7109375" style="11" customWidth="1"/>
    <col min="14025" max="14025" width="14.7109375" style="11" customWidth="1"/>
    <col min="14026" max="14027" width="15.7109375" style="11" customWidth="1"/>
    <col min="14028" max="14031" width="12.7109375" style="11" customWidth="1"/>
    <col min="14032" max="14274" width="9.140625" style="11"/>
    <col min="14275" max="14275" width="14.7109375" style="11" customWidth="1"/>
    <col min="14276" max="14276" width="40.7109375" style="11" customWidth="1"/>
    <col min="14277" max="14277" width="6.7109375" style="11" customWidth="1"/>
    <col min="14278" max="14280" width="12.7109375" style="11" customWidth="1"/>
    <col min="14281" max="14281" width="14.7109375" style="11" customWidth="1"/>
    <col min="14282" max="14283" width="15.7109375" style="11" customWidth="1"/>
    <col min="14284" max="14287" width="12.7109375" style="11" customWidth="1"/>
    <col min="14288" max="14530" width="9.140625" style="11"/>
    <col min="14531" max="14531" width="14.7109375" style="11" customWidth="1"/>
    <col min="14532" max="14532" width="40.7109375" style="11" customWidth="1"/>
    <col min="14533" max="14533" width="6.7109375" style="11" customWidth="1"/>
    <col min="14534" max="14536" width="12.7109375" style="11" customWidth="1"/>
    <col min="14537" max="14537" width="14.7109375" style="11" customWidth="1"/>
    <col min="14538" max="14539" width="15.7109375" style="11" customWidth="1"/>
    <col min="14540" max="14543" width="12.7109375" style="11" customWidth="1"/>
    <col min="14544" max="14786" width="9.140625" style="11"/>
    <col min="14787" max="14787" width="14.7109375" style="11" customWidth="1"/>
    <col min="14788" max="14788" width="40.7109375" style="11" customWidth="1"/>
    <col min="14789" max="14789" width="6.7109375" style="11" customWidth="1"/>
    <col min="14790" max="14792" width="12.7109375" style="11" customWidth="1"/>
    <col min="14793" max="14793" width="14.7109375" style="11" customWidth="1"/>
    <col min="14794" max="14795" width="15.7109375" style="11" customWidth="1"/>
    <col min="14796" max="14799" width="12.7109375" style="11" customWidth="1"/>
    <col min="14800" max="15042" width="9.140625" style="11"/>
    <col min="15043" max="15043" width="14.7109375" style="11" customWidth="1"/>
    <col min="15044" max="15044" width="40.7109375" style="11" customWidth="1"/>
    <col min="15045" max="15045" width="6.7109375" style="11" customWidth="1"/>
    <col min="15046" max="15048" width="12.7109375" style="11" customWidth="1"/>
    <col min="15049" max="15049" width="14.7109375" style="11" customWidth="1"/>
    <col min="15050" max="15051" width="15.7109375" style="11" customWidth="1"/>
    <col min="15052" max="15055" width="12.7109375" style="11" customWidth="1"/>
    <col min="15056" max="15298" width="9.140625" style="11"/>
    <col min="15299" max="15299" width="14.7109375" style="11" customWidth="1"/>
    <col min="15300" max="15300" width="40.7109375" style="11" customWidth="1"/>
    <col min="15301" max="15301" width="6.7109375" style="11" customWidth="1"/>
    <col min="15302" max="15304" width="12.7109375" style="11" customWidth="1"/>
    <col min="15305" max="15305" width="14.7109375" style="11" customWidth="1"/>
    <col min="15306" max="15307" width="15.7109375" style="11" customWidth="1"/>
    <col min="15308" max="15311" width="12.7109375" style="11" customWidth="1"/>
    <col min="15312" max="15554" width="9.140625" style="11"/>
    <col min="15555" max="15555" width="14.7109375" style="11" customWidth="1"/>
    <col min="15556" max="15556" width="40.7109375" style="11" customWidth="1"/>
    <col min="15557" max="15557" width="6.7109375" style="11" customWidth="1"/>
    <col min="15558" max="15560" width="12.7109375" style="11" customWidth="1"/>
    <col min="15561" max="15561" width="14.7109375" style="11" customWidth="1"/>
    <col min="15562" max="15563" width="15.7109375" style="11" customWidth="1"/>
    <col min="15564" max="15567" width="12.7109375" style="11" customWidth="1"/>
    <col min="15568" max="15810" width="9.140625" style="11"/>
    <col min="15811" max="15811" width="14.7109375" style="11" customWidth="1"/>
    <col min="15812" max="15812" width="40.7109375" style="11" customWidth="1"/>
    <col min="15813" max="15813" width="6.7109375" style="11" customWidth="1"/>
    <col min="15814" max="15816" width="12.7109375" style="11" customWidth="1"/>
    <col min="15817" max="15817" width="14.7109375" style="11" customWidth="1"/>
    <col min="15818" max="15819" width="15.7109375" style="11" customWidth="1"/>
    <col min="15820" max="15823" width="12.7109375" style="11" customWidth="1"/>
    <col min="15824" max="16066" width="9.140625" style="11"/>
    <col min="16067" max="16067" width="14.7109375" style="11" customWidth="1"/>
    <col min="16068" max="16068" width="40.7109375" style="11" customWidth="1"/>
    <col min="16069" max="16069" width="6.7109375" style="11" customWidth="1"/>
    <col min="16070" max="16072" width="12.7109375" style="11" customWidth="1"/>
    <col min="16073" max="16073" width="14.7109375" style="11" customWidth="1"/>
    <col min="16074" max="16075" width="15.7109375" style="11" customWidth="1"/>
    <col min="16076" max="16079" width="12.7109375" style="11" customWidth="1"/>
    <col min="16080" max="16384" width="9.140625" style="11"/>
  </cols>
  <sheetData>
    <row r="1" spans="1:11" s="2" customFormat="1" x14ac:dyDescent="0.2">
      <c r="A1" s="1"/>
      <c r="B1" s="194" t="s">
        <v>101</v>
      </c>
      <c r="C1" s="194"/>
      <c r="D1" s="194"/>
      <c r="E1" s="194"/>
      <c r="F1" s="194"/>
      <c r="G1" s="194"/>
      <c r="H1" s="194"/>
      <c r="I1" s="194"/>
      <c r="J1" s="194"/>
    </row>
    <row r="2" spans="1:11" s="2" customFormat="1" x14ac:dyDescent="0.2">
      <c r="A2" s="1"/>
      <c r="B2" s="194" t="s">
        <v>0</v>
      </c>
      <c r="C2" s="194"/>
      <c r="D2" s="194"/>
      <c r="E2" s="194"/>
      <c r="F2" s="194"/>
      <c r="G2" s="194"/>
      <c r="H2" s="194"/>
      <c r="I2" s="194"/>
      <c r="J2" s="194"/>
    </row>
    <row r="3" spans="1:11" s="2" customFormat="1" x14ac:dyDescent="0.2">
      <c r="A3" s="1"/>
      <c r="B3" s="195" t="s">
        <v>122</v>
      </c>
      <c r="C3" s="195"/>
      <c r="D3" s="195"/>
      <c r="E3" s="195"/>
      <c r="F3" s="195"/>
      <c r="G3" s="195"/>
      <c r="H3" s="195"/>
      <c r="I3" s="195"/>
      <c r="J3" s="195"/>
    </row>
    <row r="4" spans="1:11" s="2" customFormat="1" x14ac:dyDescent="0.2">
      <c r="A4" s="4"/>
      <c r="B4" s="199"/>
      <c r="C4" s="199"/>
      <c r="D4" s="199"/>
      <c r="E4" s="199"/>
      <c r="F4" s="200"/>
      <c r="G4" s="196" t="s">
        <v>66</v>
      </c>
      <c r="H4" s="197"/>
      <c r="I4" s="197"/>
      <c r="J4" s="198"/>
    </row>
    <row r="5" spans="1:11" s="2" customFormat="1" x14ac:dyDescent="0.2">
      <c r="A5" s="8"/>
      <c r="B5" s="201"/>
      <c r="C5" s="201"/>
      <c r="D5" s="201"/>
      <c r="E5" s="201"/>
      <c r="F5" s="202"/>
      <c r="G5" s="185" t="s">
        <v>1</v>
      </c>
      <c r="H5" s="186"/>
      <c r="I5" s="203" t="s">
        <v>129</v>
      </c>
      <c r="J5" s="204"/>
    </row>
    <row r="6" spans="1:11" s="2" customFormat="1" ht="16.5" x14ac:dyDescent="0.2">
      <c r="A6" s="122" t="s">
        <v>10</v>
      </c>
      <c r="B6" s="205" t="str">
        <f>"FORNECIMENTO, TRANSPORTE E INSTALAÇÃO DE MÓDULOS SANITÁRIOS COM TRATAMENTO POR DESIDRATAÇÃO -" &amp; A7</f>
        <v>FORNECIMENTO, TRANSPORTE E INSTALAÇÃO DE MÓDULOS SANITÁRIOS COM TRATAMENTO POR DESIDRATAÇÃO -BAHIA 6ª SR</v>
      </c>
      <c r="C6" s="205"/>
      <c r="D6" s="205"/>
      <c r="E6" s="205"/>
      <c r="F6" s="206"/>
      <c r="G6" s="185" t="s">
        <v>11</v>
      </c>
      <c r="H6" s="186"/>
      <c r="I6" s="181">
        <v>0.23499999999999999</v>
      </c>
      <c r="J6" s="182"/>
    </row>
    <row r="7" spans="1:11" s="2" customFormat="1" ht="17.25" x14ac:dyDescent="0.2">
      <c r="A7" s="123" t="s">
        <v>126</v>
      </c>
      <c r="B7" s="188"/>
      <c r="C7" s="188"/>
      <c r="D7" s="188"/>
      <c r="E7" s="188"/>
      <c r="F7" s="189"/>
      <c r="G7" s="185" t="s">
        <v>12</v>
      </c>
      <c r="H7" s="186"/>
      <c r="I7" s="181">
        <v>0.111</v>
      </c>
      <c r="J7" s="182"/>
    </row>
    <row r="8" spans="1:11" s="2" customFormat="1" ht="17.25" x14ac:dyDescent="0.2">
      <c r="A8" s="124"/>
      <c r="B8" s="190" t="s">
        <v>67</v>
      </c>
      <c r="C8" s="190"/>
      <c r="D8" s="190"/>
      <c r="E8" s="190"/>
      <c r="F8" s="191"/>
      <c r="G8" s="185" t="s">
        <v>49</v>
      </c>
      <c r="H8" s="186"/>
      <c r="I8" s="183">
        <v>480</v>
      </c>
      <c r="J8" s="184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208" t="s">
        <v>108</v>
      </c>
      <c r="H9" s="208"/>
      <c r="I9" s="207">
        <f>ROUND(J33,2)</f>
        <v>13901.68</v>
      </c>
      <c r="J9" s="207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52</v>
      </c>
      <c r="C11" s="100" t="s">
        <v>24</v>
      </c>
      <c r="D11" s="100" t="s">
        <v>4</v>
      </c>
      <c r="E11" s="101" t="s">
        <v>55</v>
      </c>
      <c r="F11" s="101" t="s">
        <v>20</v>
      </c>
      <c r="G11" s="102" t="s">
        <v>21</v>
      </c>
      <c r="H11" s="102" t="s">
        <v>22</v>
      </c>
      <c r="I11" s="101" t="s">
        <v>23</v>
      </c>
      <c r="J11" s="101" t="s">
        <v>54</v>
      </c>
    </row>
    <row r="12" spans="1:11" s="17" customFormat="1" ht="24.95" customHeight="1" x14ac:dyDescent="0.25">
      <c r="A12" s="103" t="s">
        <v>5</v>
      </c>
      <c r="B12" s="180" t="s">
        <v>16</v>
      </c>
      <c r="C12" s="180"/>
      <c r="D12" s="180"/>
      <c r="E12" s="180"/>
      <c r="F12" s="180"/>
      <c r="G12" s="180"/>
      <c r="H12" s="180"/>
      <c r="I12" s="104">
        <f>ROUND(I16+I22+I14,2)</f>
        <v>898319.86</v>
      </c>
      <c r="J12" s="104">
        <f>ROUND(I12/$I$8,2)</f>
        <v>1871.5</v>
      </c>
    </row>
    <row r="13" spans="1:11" s="17" customFormat="1" ht="24.95" customHeight="1" x14ac:dyDescent="0.25">
      <c r="A13" s="105" t="s">
        <v>6</v>
      </c>
      <c r="B13" s="106" t="s">
        <v>74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72</v>
      </c>
      <c r="B14" s="107" t="s">
        <v>75</v>
      </c>
      <c r="C14" s="109" t="s">
        <v>69</v>
      </c>
      <c r="D14" s="110" t="s">
        <v>134</v>
      </c>
      <c r="E14" s="110" t="s">
        <v>76</v>
      </c>
      <c r="F14" s="110">
        <f>2.4*1.2*(I8/28)</f>
        <v>49.371428571428567</v>
      </c>
      <c r="G14" s="111">
        <f>COMPOSIÇÕES!H18</f>
        <v>505.08999999999992</v>
      </c>
      <c r="H14" s="112">
        <f t="shared" ref="H14" si="0">ROUND(G14+G14*$I$6,2)</f>
        <v>623.79</v>
      </c>
      <c r="I14" s="113">
        <f t="shared" ref="I14" si="1">ROUND(ROUND(F14,2)*ROUND(H14,2),2)</f>
        <v>30796.51</v>
      </c>
      <c r="J14" s="113">
        <f>ROUND(I14/$I$8,2)</f>
        <v>64.16</v>
      </c>
    </row>
    <row r="15" spans="1:11" s="40" customFormat="1" ht="24.95" customHeight="1" x14ac:dyDescent="0.25">
      <c r="A15" s="192" t="s">
        <v>17</v>
      </c>
      <c r="B15" s="192"/>
      <c r="C15" s="192"/>
      <c r="D15" s="192"/>
      <c r="E15" s="192"/>
      <c r="F15" s="192"/>
      <c r="G15" s="192"/>
      <c r="H15" s="192"/>
      <c r="I15" s="192"/>
      <c r="J15" s="192"/>
      <c r="K15" s="70"/>
    </row>
    <row r="16" spans="1:11" s="17" customFormat="1" ht="24.95" customHeight="1" x14ac:dyDescent="0.25">
      <c r="A16" s="114" t="s">
        <v>7</v>
      </c>
      <c r="B16" s="180" t="s">
        <v>103</v>
      </c>
      <c r="C16" s="180"/>
      <c r="D16" s="180"/>
      <c r="E16" s="180"/>
      <c r="F16" s="180"/>
      <c r="G16" s="180"/>
      <c r="H16" s="180"/>
      <c r="I16" s="104">
        <f>ROUND(SUM(I17:I20),2)</f>
        <v>68894.55</v>
      </c>
      <c r="J16" s="104">
        <f>ROUND(I16/$I$8,2)</f>
        <v>143.53</v>
      </c>
    </row>
    <row r="17" spans="1:11" s="17" customFormat="1" ht="33" x14ac:dyDescent="0.25">
      <c r="A17" s="115" t="s">
        <v>13</v>
      </c>
      <c r="B17" s="116" t="s">
        <v>93</v>
      </c>
      <c r="C17" s="117" t="s">
        <v>70</v>
      </c>
      <c r="D17" s="118" t="s">
        <v>19</v>
      </c>
      <c r="E17" s="112">
        <v>106.743375</v>
      </c>
      <c r="F17" s="112">
        <f>E17*$I$8</f>
        <v>51236.82</v>
      </c>
      <c r="G17" s="112">
        <f>G18</f>
        <v>0.94000000000000006</v>
      </c>
      <c r="H17" s="112">
        <f t="shared" ref="H17:H20" si="2">ROUND(G17+G17*$I$6,2)</f>
        <v>1.1599999999999999</v>
      </c>
      <c r="I17" s="112">
        <f>ROUND(ROUND(F17,2)*ROUND(H17,2),2)</f>
        <v>59434.71</v>
      </c>
      <c r="J17" s="112">
        <f>I17/$I$8</f>
        <v>123.8223125</v>
      </c>
    </row>
    <row r="18" spans="1:11" ht="33" x14ac:dyDescent="0.25">
      <c r="A18" s="115" t="s">
        <v>87</v>
      </c>
      <c r="B18" s="116" t="s">
        <v>100</v>
      </c>
      <c r="C18" s="117" t="s">
        <v>71</v>
      </c>
      <c r="D18" s="118" t="s">
        <v>19</v>
      </c>
      <c r="E18" s="112">
        <v>9.65</v>
      </c>
      <c r="F18" s="112">
        <f t="shared" ref="F18:F20" si="3">E18*$I$8</f>
        <v>4632</v>
      </c>
      <c r="G18" s="112">
        <f>COMPOSIÇÕES!H30</f>
        <v>0.94000000000000006</v>
      </c>
      <c r="H18" s="112">
        <f t="shared" si="2"/>
        <v>1.1599999999999999</v>
      </c>
      <c r="I18" s="112">
        <f>ROUND(ROUND(F18,2)*ROUND(H18,2),2)</f>
        <v>5373.12</v>
      </c>
      <c r="J18" s="112">
        <f>I18/$I$8</f>
        <v>11.193999999999999</v>
      </c>
      <c r="K18" s="16"/>
    </row>
    <row r="19" spans="1:11" ht="33" x14ac:dyDescent="0.25">
      <c r="A19" s="115" t="s">
        <v>88</v>
      </c>
      <c r="B19" s="116" t="s">
        <v>95</v>
      </c>
      <c r="C19" s="117" t="s">
        <v>90</v>
      </c>
      <c r="D19" s="118" t="s">
        <v>19</v>
      </c>
      <c r="E19" s="112">
        <v>0.72</v>
      </c>
      <c r="F19" s="112">
        <f t="shared" si="3"/>
        <v>345.59999999999997</v>
      </c>
      <c r="G19" s="112">
        <f>COMPOSIÇÕES!H35</f>
        <v>1.74</v>
      </c>
      <c r="H19" s="112">
        <f t="shared" si="2"/>
        <v>2.15</v>
      </c>
      <c r="I19" s="112">
        <f t="shared" ref="I19:I20" si="4">ROUND(ROUND(F19,2)*ROUND(H19,2),2)</f>
        <v>743.04</v>
      </c>
      <c r="J19" s="112">
        <f t="shared" ref="J19:J20" si="5">I19/$I$8</f>
        <v>1.5479999999999998</v>
      </c>
      <c r="K19" s="16"/>
    </row>
    <row r="20" spans="1:11" ht="33" x14ac:dyDescent="0.25">
      <c r="A20" s="115" t="s">
        <v>91</v>
      </c>
      <c r="B20" s="116" t="s">
        <v>96</v>
      </c>
      <c r="C20" s="117" t="s">
        <v>92</v>
      </c>
      <c r="D20" s="118" t="s">
        <v>19</v>
      </c>
      <c r="E20" s="112">
        <v>2.15</v>
      </c>
      <c r="F20" s="112">
        <f t="shared" si="3"/>
        <v>1032</v>
      </c>
      <c r="G20" s="112">
        <f>COMPOSIÇÕES!H40</f>
        <v>2.62</v>
      </c>
      <c r="H20" s="112">
        <f t="shared" si="2"/>
        <v>3.24</v>
      </c>
      <c r="I20" s="112">
        <f t="shared" si="4"/>
        <v>3343.68</v>
      </c>
      <c r="J20" s="112">
        <f t="shared" si="5"/>
        <v>6.9659999999999993</v>
      </c>
      <c r="K20" s="16"/>
    </row>
    <row r="21" spans="1:11" s="40" customFormat="1" ht="24.95" customHeight="1" x14ac:dyDescent="0.25">
      <c r="A21" s="193"/>
      <c r="B21" s="193"/>
      <c r="C21" s="193"/>
      <c r="D21" s="193"/>
      <c r="E21" s="193"/>
      <c r="F21" s="193"/>
      <c r="G21" s="193"/>
      <c r="H21" s="193"/>
      <c r="I21" s="193"/>
      <c r="J21" s="193"/>
      <c r="K21" s="16"/>
    </row>
    <row r="22" spans="1:11" s="17" customFormat="1" ht="24.95" customHeight="1" x14ac:dyDescent="0.25">
      <c r="A22" s="114" t="s">
        <v>29</v>
      </c>
      <c r="B22" s="180" t="s">
        <v>104</v>
      </c>
      <c r="C22" s="180"/>
      <c r="D22" s="180"/>
      <c r="E22" s="180"/>
      <c r="F22" s="180"/>
      <c r="G22" s="180"/>
      <c r="H22" s="180"/>
      <c r="I22" s="104">
        <f>ROUND(SUBTOTAL(9,I23:I23),2)</f>
        <v>798628.8</v>
      </c>
      <c r="J22" s="104">
        <f>ROUND(I22/$I$8,2)</f>
        <v>1663.81</v>
      </c>
    </row>
    <row r="23" spans="1:11" ht="42" customHeight="1" x14ac:dyDescent="0.25">
      <c r="A23" s="115" t="s">
        <v>89</v>
      </c>
      <c r="B23" s="116" t="s">
        <v>105</v>
      </c>
      <c r="C23" s="118" t="s">
        <v>50</v>
      </c>
      <c r="D23" s="118" t="s">
        <v>9</v>
      </c>
      <c r="E23" s="112">
        <v>1</v>
      </c>
      <c r="F23" s="112">
        <f>$I$8</f>
        <v>480</v>
      </c>
      <c r="G23" s="132" t="s">
        <v>76</v>
      </c>
      <c r="H23" s="132">
        <v>1663.81</v>
      </c>
      <c r="I23" s="112">
        <f t="shared" ref="I23" si="6">ROUND(ROUND(F23,2)*ROUND(H23,2),2)</f>
        <v>798628.8</v>
      </c>
      <c r="J23" s="112">
        <f>I23/$I$8</f>
        <v>1663.8100000000002</v>
      </c>
    </row>
    <row r="24" spans="1:11" ht="24.95" customHeight="1" x14ac:dyDescent="0.25">
      <c r="A24" s="187" t="s">
        <v>17</v>
      </c>
      <c r="B24" s="187"/>
      <c r="C24" s="187"/>
      <c r="D24" s="187"/>
      <c r="E24" s="187"/>
      <c r="F24" s="187"/>
      <c r="G24" s="187"/>
      <c r="H24" s="187"/>
      <c r="I24" s="187"/>
      <c r="J24" s="187"/>
    </row>
    <row r="25" spans="1:11" s="17" customFormat="1" ht="24.95" customHeight="1" x14ac:dyDescent="0.25">
      <c r="A25" s="119" t="s">
        <v>8</v>
      </c>
      <c r="B25" s="180" t="s">
        <v>68</v>
      </c>
      <c r="C25" s="180"/>
      <c r="D25" s="180"/>
      <c r="E25" s="180"/>
      <c r="F25" s="180"/>
      <c r="G25" s="180"/>
      <c r="H25" s="180"/>
      <c r="I25" s="104">
        <f>ROUND(SUM(I26:I27),2)</f>
        <v>5695977.5999999996</v>
      </c>
      <c r="J25" s="104">
        <f>ROUND(I25/$I$8,2)</f>
        <v>11866.62</v>
      </c>
    </row>
    <row r="26" spans="1:11" ht="24.95" customHeight="1" x14ac:dyDescent="0.25">
      <c r="A26" s="129" t="s">
        <v>15</v>
      </c>
      <c r="B26" s="116" t="s">
        <v>102</v>
      </c>
      <c r="C26" s="118" t="s">
        <v>51</v>
      </c>
      <c r="D26" s="118" t="s">
        <v>9</v>
      </c>
      <c r="E26" s="112">
        <v>1</v>
      </c>
      <c r="F26" s="112">
        <f>$I$8</f>
        <v>480</v>
      </c>
      <c r="G26" s="132" t="s">
        <v>76</v>
      </c>
      <c r="H26" s="132">
        <v>11854</v>
      </c>
      <c r="I26" s="112">
        <f>ROUND(ROUND(F26,2)*ROUND(H26,2),2)</f>
        <v>5689920</v>
      </c>
      <c r="J26" s="112">
        <f>I26/$I$8</f>
        <v>11854</v>
      </c>
      <c r="K26" s="33"/>
    </row>
    <row r="27" spans="1:11" ht="24.95" customHeight="1" x14ac:dyDescent="0.25">
      <c r="A27" s="129" t="s">
        <v>109</v>
      </c>
      <c r="B27" s="116" t="s">
        <v>121</v>
      </c>
      <c r="C27" s="118" t="s">
        <v>136</v>
      </c>
      <c r="D27" s="118" t="s">
        <v>9</v>
      </c>
      <c r="E27" s="112">
        <v>1</v>
      </c>
      <c r="F27" s="112">
        <f>I8</f>
        <v>480</v>
      </c>
      <c r="G27" s="132">
        <f>COMPOSIÇÕES!H46</f>
        <v>11.36</v>
      </c>
      <c r="H27" s="112">
        <f>ROUND(G27+G27*$I$7,2)</f>
        <v>12.62</v>
      </c>
      <c r="I27" s="112">
        <f>ROUND(ROUND(F27,2)*ROUND(H27,2),2)</f>
        <v>6057.6</v>
      </c>
      <c r="J27" s="112">
        <f>I27/$I$8</f>
        <v>12.620000000000001</v>
      </c>
      <c r="K27" s="33"/>
    </row>
    <row r="28" spans="1:11" ht="24.95" customHeight="1" x14ac:dyDescent="0.25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33"/>
    </row>
    <row r="29" spans="1:11" ht="24.95" customHeight="1" x14ac:dyDescent="0.25">
      <c r="A29" s="119" t="s">
        <v>53</v>
      </c>
      <c r="B29" s="180" t="s">
        <v>123</v>
      </c>
      <c r="C29" s="180"/>
      <c r="D29" s="180"/>
      <c r="E29" s="180"/>
      <c r="F29" s="180"/>
      <c r="G29" s="180"/>
      <c r="H29" s="180"/>
      <c r="I29" s="140">
        <f>SUM(I30:I31)</f>
        <v>78506.69</v>
      </c>
      <c r="J29" s="141">
        <f>ROUND(I29/$I$8,2)</f>
        <v>163.56</v>
      </c>
      <c r="K29" s="33"/>
    </row>
    <row r="30" spans="1:11" ht="24.95" customHeight="1" x14ac:dyDescent="0.25">
      <c r="A30" s="129" t="s">
        <v>124</v>
      </c>
      <c r="B30" s="116" t="s">
        <v>125</v>
      </c>
      <c r="C30" s="117" t="s">
        <v>111</v>
      </c>
      <c r="D30" s="118" t="s">
        <v>9</v>
      </c>
      <c r="E30" s="112">
        <v>1</v>
      </c>
      <c r="F30" s="112">
        <f>I8</f>
        <v>480</v>
      </c>
      <c r="G30" s="132">
        <f>COMPOSIÇÕES!H51</f>
        <v>10.16</v>
      </c>
      <c r="H30" s="112">
        <f>ROUND(G30+G30*$I$6,2)</f>
        <v>12.55</v>
      </c>
      <c r="I30" s="112">
        <f>ROUND(ROUND(F30,2)*ROUND(H30,2),2)</f>
        <v>6024</v>
      </c>
      <c r="J30" s="112">
        <f>I30/$I$8</f>
        <v>12.55</v>
      </c>
      <c r="K30" s="33"/>
    </row>
    <row r="31" spans="1:11" ht="24.95" customHeight="1" x14ac:dyDescent="0.25">
      <c r="A31" s="129" t="s">
        <v>131</v>
      </c>
      <c r="B31" s="116" t="s">
        <v>132</v>
      </c>
      <c r="C31" s="117">
        <v>94990</v>
      </c>
      <c r="D31" s="118" t="s">
        <v>133</v>
      </c>
      <c r="E31" s="112">
        <f>1.6*3*0.03</f>
        <v>0.14400000000000002</v>
      </c>
      <c r="F31" s="112">
        <f>E31*I8</f>
        <v>69.12</v>
      </c>
      <c r="G31" s="132">
        <v>849.11</v>
      </c>
      <c r="H31" s="112">
        <f>ROUND(G31+G31*$I$6,2)</f>
        <v>1048.6500000000001</v>
      </c>
      <c r="I31" s="112">
        <f>ROUND(ROUND(F31,2)*ROUND(H31,2),2)</f>
        <v>72482.69</v>
      </c>
      <c r="J31" s="112">
        <f>I31/$I$8</f>
        <v>151.00560416666667</v>
      </c>
      <c r="K31" s="33"/>
    </row>
    <row r="32" spans="1:11" ht="24.95" customHeight="1" x14ac:dyDescent="0.25">
      <c r="A32" s="178"/>
      <c r="B32" s="178"/>
      <c r="C32" s="178"/>
      <c r="D32" s="178"/>
      <c r="E32" s="178"/>
      <c r="F32" s="178"/>
      <c r="G32" s="178"/>
      <c r="H32" s="178"/>
      <c r="I32" s="178"/>
      <c r="J32" s="178"/>
    </row>
    <row r="33" spans="1:10" s="18" customFormat="1" ht="24.95" customHeight="1" x14ac:dyDescent="0.25">
      <c r="A33" s="179" t="s">
        <v>25</v>
      </c>
      <c r="B33" s="179"/>
      <c r="C33" s="120"/>
      <c r="D33" s="120"/>
      <c r="E33" s="120"/>
      <c r="F33" s="120"/>
      <c r="G33" s="120"/>
      <c r="H33" s="120"/>
      <c r="I33" s="121">
        <f>I12+I25+I29</f>
        <v>6672804.1500000004</v>
      </c>
      <c r="J33" s="121">
        <f>I33/I8</f>
        <v>13901.675312500001</v>
      </c>
    </row>
  </sheetData>
  <mergeCells count="30"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19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L90"/>
  <sheetViews>
    <sheetView view="pageBreakPreview" zoomScaleNormal="100" zoomScaleSheetLayoutView="100" workbookViewId="0">
      <pane ySplit="9" topLeftCell="A42" activePane="bottomLeft" state="frozen"/>
      <selection activeCell="B11" sqref="B11:H11"/>
      <selection pane="bottomLeft" activeCell="G59" sqref="G59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94" t="s">
        <v>101</v>
      </c>
      <c r="C1" s="194"/>
      <c r="D1" s="194"/>
      <c r="E1" s="194"/>
      <c r="F1" s="194"/>
      <c r="G1" s="194"/>
      <c r="H1" s="194"/>
    </row>
    <row r="2" spans="1:8" s="20" customFormat="1" x14ac:dyDescent="0.2">
      <c r="A2" s="1"/>
      <c r="B2" s="194" t="s">
        <v>0</v>
      </c>
      <c r="C2" s="194"/>
      <c r="D2" s="194"/>
      <c r="E2" s="194"/>
      <c r="F2" s="194"/>
      <c r="G2" s="194"/>
      <c r="H2" s="194"/>
    </row>
    <row r="3" spans="1:8" s="20" customFormat="1" x14ac:dyDescent="0.2">
      <c r="A3" s="1"/>
      <c r="B3" s="195" t="s">
        <v>122</v>
      </c>
      <c r="C3" s="195"/>
      <c r="D3" s="195"/>
      <c r="E3" s="195"/>
      <c r="F3" s="195"/>
      <c r="G3" s="195"/>
      <c r="H3" s="195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10</v>
      </c>
      <c r="B5" s="209" t="str">
        <f>ANALÍTICO!B6</f>
        <v>FORNECIMENTO, TRANSPORTE E INSTALAÇÃO DE MÓDULOS SANITÁRIOS COM TRATAMENTO POR DESIDRATAÇÃO -BAHIA 6ª SR</v>
      </c>
      <c r="C5" s="209"/>
      <c r="D5" s="209"/>
      <c r="E5" s="209"/>
      <c r="F5" s="209"/>
      <c r="G5" s="209"/>
      <c r="H5" s="209"/>
    </row>
    <row r="6" spans="1:8" s="20" customFormat="1" x14ac:dyDescent="0.2"/>
    <row r="7" spans="1:8" s="20" customFormat="1" x14ac:dyDescent="0.2">
      <c r="A7" s="34" t="s">
        <v>48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41</v>
      </c>
      <c r="C9" s="30" t="s">
        <v>42</v>
      </c>
      <c r="D9" s="30" t="s">
        <v>28</v>
      </c>
      <c r="E9" s="30" t="s">
        <v>43</v>
      </c>
      <c r="F9" s="31" t="s">
        <v>44</v>
      </c>
      <c r="G9" s="31" t="s">
        <v>45</v>
      </c>
      <c r="H9" s="31" t="s">
        <v>46</v>
      </c>
    </row>
    <row r="10" spans="1:8" ht="30" x14ac:dyDescent="0.25">
      <c r="A10" s="61" t="s">
        <v>72</v>
      </c>
      <c r="B10" s="61"/>
      <c r="C10" s="61" t="s">
        <v>69</v>
      </c>
      <c r="D10" s="61" t="s">
        <v>86</v>
      </c>
      <c r="E10" s="73" t="s">
        <v>77</v>
      </c>
      <c r="F10" s="74"/>
      <c r="G10" s="74"/>
      <c r="H10" s="74"/>
    </row>
    <row r="11" spans="1:8" ht="42.75" x14ac:dyDescent="0.25">
      <c r="A11" s="61"/>
      <c r="B11" s="62" t="s">
        <v>78</v>
      </c>
      <c r="C11" s="131">
        <v>4417</v>
      </c>
      <c r="D11" s="62" t="s">
        <v>64</v>
      </c>
      <c r="E11" s="75" t="s">
        <v>79</v>
      </c>
      <c r="F11" s="76">
        <v>1</v>
      </c>
      <c r="G11" s="76" t="s">
        <v>56</v>
      </c>
      <c r="H11" s="76">
        <f>ROUND(F11*G11,2)</f>
        <v>7.41</v>
      </c>
    </row>
    <row r="12" spans="1:8" ht="42.75" x14ac:dyDescent="0.25">
      <c r="A12" s="61"/>
      <c r="B12" s="62" t="s">
        <v>78</v>
      </c>
      <c r="C12" s="131">
        <v>4491</v>
      </c>
      <c r="D12" s="62" t="s">
        <v>60</v>
      </c>
      <c r="E12" s="75" t="s">
        <v>79</v>
      </c>
      <c r="F12" s="76">
        <v>4</v>
      </c>
      <c r="G12" s="76" t="s">
        <v>61</v>
      </c>
      <c r="H12" s="76">
        <f t="shared" ref="H12:H17" si="0">ROUND(F12*G12,2)</f>
        <v>38</v>
      </c>
    </row>
    <row r="13" spans="1:8" ht="57" x14ac:dyDescent="0.25">
      <c r="A13" s="61"/>
      <c r="B13" s="62" t="s">
        <v>78</v>
      </c>
      <c r="C13" s="131">
        <v>4813</v>
      </c>
      <c r="D13" s="62" t="s">
        <v>80</v>
      </c>
      <c r="E13" s="75" t="s">
        <v>77</v>
      </c>
      <c r="F13" s="76">
        <v>1</v>
      </c>
      <c r="G13" s="76" t="s">
        <v>128</v>
      </c>
      <c r="H13" s="76">
        <f t="shared" si="0"/>
        <v>375</v>
      </c>
    </row>
    <row r="14" spans="1:8" ht="28.5" x14ac:dyDescent="0.25">
      <c r="A14" s="61"/>
      <c r="B14" s="62" t="s">
        <v>78</v>
      </c>
      <c r="C14" s="131">
        <v>5075</v>
      </c>
      <c r="D14" s="62" t="s">
        <v>59</v>
      </c>
      <c r="E14" s="75" t="s">
        <v>81</v>
      </c>
      <c r="F14" s="76">
        <v>0.11</v>
      </c>
      <c r="G14" s="76" t="s">
        <v>58</v>
      </c>
      <c r="H14" s="76">
        <f t="shared" si="0"/>
        <v>1.95</v>
      </c>
    </row>
    <row r="15" spans="1:8" ht="28.5" x14ac:dyDescent="0.25">
      <c r="A15" s="61"/>
      <c r="B15" s="62" t="s">
        <v>47</v>
      </c>
      <c r="C15" s="131">
        <v>88262</v>
      </c>
      <c r="D15" s="62" t="s">
        <v>82</v>
      </c>
      <c r="E15" s="75" t="s">
        <v>14</v>
      </c>
      <c r="F15" s="76">
        <v>1</v>
      </c>
      <c r="G15" s="76">
        <v>31.88</v>
      </c>
      <c r="H15" s="76">
        <f t="shared" si="0"/>
        <v>31.88</v>
      </c>
    </row>
    <row r="16" spans="1:8" ht="28.5" x14ac:dyDescent="0.25">
      <c r="A16" s="61"/>
      <c r="B16" s="62" t="s">
        <v>47</v>
      </c>
      <c r="C16" s="131">
        <v>88316</v>
      </c>
      <c r="D16" s="62" t="s">
        <v>83</v>
      </c>
      <c r="E16" s="75" t="s">
        <v>14</v>
      </c>
      <c r="F16" s="76">
        <v>2</v>
      </c>
      <c r="G16" s="76">
        <v>23.23</v>
      </c>
      <c r="H16" s="76">
        <f t="shared" si="0"/>
        <v>46.46</v>
      </c>
    </row>
    <row r="17" spans="1:8" ht="57" x14ac:dyDescent="0.25">
      <c r="A17" s="61"/>
      <c r="B17" s="62" t="s">
        <v>47</v>
      </c>
      <c r="C17" s="131">
        <v>94962</v>
      </c>
      <c r="D17" s="62" t="s">
        <v>84</v>
      </c>
      <c r="E17" s="75" t="s">
        <v>85</v>
      </c>
      <c r="F17" s="76">
        <v>0.01</v>
      </c>
      <c r="G17" s="76">
        <v>439.14</v>
      </c>
      <c r="H17" s="76">
        <f t="shared" si="0"/>
        <v>4.3899999999999997</v>
      </c>
    </row>
    <row r="18" spans="1:8" x14ac:dyDescent="0.25">
      <c r="A18" s="77"/>
      <c r="B18" s="77"/>
      <c r="C18" s="73"/>
      <c r="D18" s="73" t="s">
        <v>27</v>
      </c>
      <c r="E18" s="73"/>
      <c r="F18" s="76"/>
      <c r="G18" s="76"/>
      <c r="H18" s="78">
        <f>SUM(H11:H17)</f>
        <v>505.08999999999992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13</v>
      </c>
      <c r="B20" s="80"/>
      <c r="C20" s="81" t="s">
        <v>70</v>
      </c>
      <c r="D20" s="82" t="s">
        <v>94</v>
      </c>
      <c r="E20" s="81" t="s">
        <v>18</v>
      </c>
      <c r="F20" s="83"/>
      <c r="G20" s="84"/>
      <c r="H20" s="84"/>
    </row>
    <row r="21" spans="1:8" ht="28.5" x14ac:dyDescent="0.25">
      <c r="A21" s="85"/>
      <c r="B21" s="86" t="s">
        <v>65</v>
      </c>
      <c r="C21" s="87" t="s">
        <v>115</v>
      </c>
      <c r="D21" s="130" t="s">
        <v>117</v>
      </c>
      <c r="E21" s="88" t="s">
        <v>26</v>
      </c>
      <c r="F21" s="83">
        <v>1.9124115509657679E-3</v>
      </c>
      <c r="G21" s="84">
        <v>408.17959999999999</v>
      </c>
      <c r="H21" s="84">
        <f>ROUND(F21*G21,2)</f>
        <v>0.78</v>
      </c>
    </row>
    <row r="22" spans="1:8" x14ac:dyDescent="0.25">
      <c r="A22" s="85"/>
      <c r="B22" s="86" t="s">
        <v>65</v>
      </c>
      <c r="C22" s="87" t="s">
        <v>116</v>
      </c>
      <c r="D22" s="130" t="s">
        <v>118</v>
      </c>
      <c r="E22" s="88" t="s">
        <v>26</v>
      </c>
      <c r="F22" s="83">
        <v>1.9124115509657679E-3</v>
      </c>
      <c r="G22" s="84">
        <v>64.976799999999997</v>
      </c>
      <c r="H22" s="84">
        <f>ROUND(F22*G22,2)</f>
        <v>0.12</v>
      </c>
    </row>
    <row r="23" spans="1:8" ht="28.5" x14ac:dyDescent="0.25">
      <c r="A23" s="85"/>
      <c r="B23" s="90" t="s">
        <v>47</v>
      </c>
      <c r="C23" s="91">
        <v>88316</v>
      </c>
      <c r="D23" s="92" t="s">
        <v>83</v>
      </c>
      <c r="E23" s="93" t="s">
        <v>14</v>
      </c>
      <c r="F23" s="83">
        <v>1.9124115509657679E-3</v>
      </c>
      <c r="G23" s="89">
        <v>23.23</v>
      </c>
      <c r="H23" s="84">
        <f>ROUND(F23*G23,2)</f>
        <v>0.04</v>
      </c>
    </row>
    <row r="24" spans="1:8" x14ac:dyDescent="0.25">
      <c r="A24" s="85"/>
      <c r="B24" s="86"/>
      <c r="C24" s="94"/>
      <c r="D24" s="81" t="s">
        <v>27</v>
      </c>
      <c r="E24" s="81"/>
      <c r="F24" s="95"/>
      <c r="G24" s="96"/>
      <c r="H24" s="96">
        <f>SUBTOTAL(9,H21:H23)</f>
        <v>0.94000000000000006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87</v>
      </c>
      <c r="B26" s="80"/>
      <c r="C26" s="81" t="s">
        <v>71</v>
      </c>
      <c r="D26" s="82" t="s">
        <v>99</v>
      </c>
      <c r="E26" s="81" t="s">
        <v>18</v>
      </c>
      <c r="F26" s="83"/>
      <c r="G26" s="84"/>
      <c r="H26" s="84"/>
    </row>
    <row r="27" spans="1:8" ht="28.5" x14ac:dyDescent="0.25">
      <c r="A27" s="85"/>
      <c r="B27" s="86" t="s">
        <v>65</v>
      </c>
      <c r="C27" s="87" t="s">
        <v>115</v>
      </c>
      <c r="D27" s="130" t="s">
        <v>117</v>
      </c>
      <c r="E27" s="88" t="s">
        <v>26</v>
      </c>
      <c r="F27" s="83">
        <v>1.9124115509657679E-3</v>
      </c>
      <c r="G27" s="84">
        <v>408.17959999999999</v>
      </c>
      <c r="H27" s="84">
        <f>ROUND(F27*G27,2)</f>
        <v>0.78</v>
      </c>
    </row>
    <row r="28" spans="1:8" x14ac:dyDescent="0.25">
      <c r="A28" s="85"/>
      <c r="B28" s="86" t="s">
        <v>65</v>
      </c>
      <c r="C28" s="87" t="s">
        <v>116</v>
      </c>
      <c r="D28" s="130" t="s">
        <v>118</v>
      </c>
      <c r="E28" s="88" t="s">
        <v>26</v>
      </c>
      <c r="F28" s="83">
        <v>1.9124115509657679E-3</v>
      </c>
      <c r="G28" s="84">
        <v>64.976799999999997</v>
      </c>
      <c r="H28" s="84">
        <f>ROUND(F28*G28,2)</f>
        <v>0.12</v>
      </c>
    </row>
    <row r="29" spans="1:8" ht="28.5" x14ac:dyDescent="0.25">
      <c r="A29" s="85"/>
      <c r="B29" s="90" t="s">
        <v>47</v>
      </c>
      <c r="C29" s="91">
        <v>88316</v>
      </c>
      <c r="D29" s="92" t="s">
        <v>83</v>
      </c>
      <c r="E29" s="93" t="s">
        <v>14</v>
      </c>
      <c r="F29" s="83">
        <v>1.9124115509657679E-3</v>
      </c>
      <c r="G29" s="89">
        <v>23.23</v>
      </c>
      <c r="H29" s="84">
        <f>ROUND(F29*G29,2)</f>
        <v>0.04</v>
      </c>
    </row>
    <row r="30" spans="1:8" x14ac:dyDescent="0.25">
      <c r="A30" s="85"/>
      <c r="B30" s="86"/>
      <c r="C30" s="94"/>
      <c r="D30" s="81" t="s">
        <v>27</v>
      </c>
      <c r="E30" s="81"/>
      <c r="F30" s="95"/>
      <c r="G30" s="96"/>
      <c r="H30" s="96">
        <f>SUBTOTAL(9,H27:H29)</f>
        <v>0.94000000000000006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88</v>
      </c>
      <c r="B32" s="80"/>
      <c r="C32" s="81" t="s">
        <v>90</v>
      </c>
      <c r="D32" s="82" t="s">
        <v>97</v>
      </c>
      <c r="E32" s="81" t="s">
        <v>18</v>
      </c>
      <c r="F32" s="83"/>
      <c r="G32" s="84"/>
      <c r="H32" s="84"/>
    </row>
    <row r="33" spans="1:10" ht="28.5" x14ac:dyDescent="0.25">
      <c r="A33" s="85"/>
      <c r="B33" s="86" t="s">
        <v>65</v>
      </c>
      <c r="C33" s="133" t="s">
        <v>130</v>
      </c>
      <c r="D33" s="134" t="s">
        <v>119</v>
      </c>
      <c r="E33" s="88" t="s">
        <v>26</v>
      </c>
      <c r="F33" s="98">
        <v>1.0040160642570281E-2</v>
      </c>
      <c r="G33" s="84">
        <v>150.7765</v>
      </c>
      <c r="H33" s="84">
        <f t="shared" ref="H33:H34" si="1">ROUND(F33*G33,2)</f>
        <v>1.51</v>
      </c>
    </row>
    <row r="34" spans="1:10" ht="28.5" x14ac:dyDescent="0.25">
      <c r="A34" s="85"/>
      <c r="B34" s="90" t="s">
        <v>47</v>
      </c>
      <c r="C34" s="91">
        <v>88316</v>
      </c>
      <c r="D34" s="92" t="s">
        <v>83</v>
      </c>
      <c r="E34" s="93" t="s">
        <v>14</v>
      </c>
      <c r="F34" s="98">
        <v>1.0040160642570281E-2</v>
      </c>
      <c r="G34" s="84">
        <v>23.23</v>
      </c>
      <c r="H34" s="84">
        <f t="shared" si="1"/>
        <v>0.23</v>
      </c>
    </row>
    <row r="35" spans="1:10" x14ac:dyDescent="0.25">
      <c r="A35" s="85"/>
      <c r="B35" s="86"/>
      <c r="C35" s="94"/>
      <c r="D35" s="82" t="s">
        <v>27</v>
      </c>
      <c r="E35" s="81"/>
      <c r="F35" s="95"/>
      <c r="G35" s="96"/>
      <c r="H35" s="96">
        <f>SUBTOTAL(9,H33:H34)</f>
        <v>1.74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91</v>
      </c>
      <c r="B37" s="80"/>
      <c r="C37" s="81" t="s">
        <v>92</v>
      </c>
      <c r="D37" s="82" t="s">
        <v>98</v>
      </c>
      <c r="E37" s="81" t="s">
        <v>18</v>
      </c>
      <c r="F37" s="83"/>
      <c r="G37" s="84"/>
      <c r="H37" s="84"/>
    </row>
    <row r="38" spans="1:10" ht="28.5" x14ac:dyDescent="0.25">
      <c r="A38" s="85"/>
      <c r="B38" s="86" t="s">
        <v>65</v>
      </c>
      <c r="C38" s="133" t="s">
        <v>130</v>
      </c>
      <c r="D38" s="134" t="s">
        <v>119</v>
      </c>
      <c r="E38" s="88" t="s">
        <v>26</v>
      </c>
      <c r="F38" s="83">
        <v>1.5060240963855423E-2</v>
      </c>
      <c r="G38" s="84">
        <v>150.7765</v>
      </c>
      <c r="H38" s="84">
        <f t="shared" ref="H38:H39" si="2">ROUND(F38*G38,2)</f>
        <v>2.27</v>
      </c>
    </row>
    <row r="39" spans="1:10" ht="28.5" x14ac:dyDescent="0.25">
      <c r="A39" s="85"/>
      <c r="B39" s="90" t="s">
        <v>47</v>
      </c>
      <c r="C39" s="91">
        <v>88316</v>
      </c>
      <c r="D39" s="92" t="s">
        <v>83</v>
      </c>
      <c r="E39" s="93" t="s">
        <v>14</v>
      </c>
      <c r="F39" s="83">
        <v>1.5060240963855423E-2</v>
      </c>
      <c r="G39" s="84">
        <v>23.23</v>
      </c>
      <c r="H39" s="84">
        <f t="shared" si="2"/>
        <v>0.35</v>
      </c>
    </row>
    <row r="40" spans="1:10" x14ac:dyDescent="0.25">
      <c r="A40" s="85"/>
      <c r="B40" s="90"/>
      <c r="C40" s="91"/>
      <c r="D40" s="82" t="s">
        <v>27</v>
      </c>
      <c r="E40" s="81"/>
      <c r="F40" s="95"/>
      <c r="G40" s="96"/>
      <c r="H40" s="96">
        <f>SUBTOTAL(9,H38:H39)</f>
        <v>2.62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109</v>
      </c>
      <c r="B42" s="90"/>
      <c r="C42" s="81" t="s">
        <v>110</v>
      </c>
      <c r="D42" s="127" t="s">
        <v>120</v>
      </c>
      <c r="E42" s="143" t="s">
        <v>9</v>
      </c>
      <c r="F42" s="83"/>
      <c r="G42" s="84"/>
      <c r="H42" s="84"/>
    </row>
    <row r="43" spans="1:10" x14ac:dyDescent="0.25">
      <c r="A43" s="85"/>
      <c r="B43" s="90" t="s">
        <v>110</v>
      </c>
      <c r="C43" s="91"/>
      <c r="D43" s="92" t="s">
        <v>112</v>
      </c>
      <c r="E43" s="93" t="s">
        <v>9</v>
      </c>
      <c r="F43" s="83">
        <v>4</v>
      </c>
      <c r="G43" s="142">
        <v>0.75</v>
      </c>
      <c r="H43" s="84">
        <f>ROUND(F43*G43,2)</f>
        <v>3</v>
      </c>
      <c r="J43" s="128"/>
    </row>
    <row r="44" spans="1:10" x14ac:dyDescent="0.25">
      <c r="A44" s="85"/>
      <c r="B44" s="90" t="s">
        <v>110</v>
      </c>
      <c r="C44" s="91"/>
      <c r="D44" s="92" t="s">
        <v>113</v>
      </c>
      <c r="E44" s="93" t="s">
        <v>9</v>
      </c>
      <c r="F44" s="83">
        <v>1</v>
      </c>
      <c r="G44" s="142">
        <v>5.9266666666666667</v>
      </c>
      <c r="H44" s="84">
        <f t="shared" ref="H44:H45" si="3">ROUND(F44*G44,2)</f>
        <v>5.93</v>
      </c>
    </row>
    <row r="45" spans="1:10" x14ac:dyDescent="0.25">
      <c r="A45" s="85"/>
      <c r="B45" s="90" t="s">
        <v>110</v>
      </c>
      <c r="C45" s="91"/>
      <c r="D45" s="92" t="s">
        <v>114</v>
      </c>
      <c r="E45" s="93" t="s">
        <v>9</v>
      </c>
      <c r="F45" s="83">
        <v>1</v>
      </c>
      <c r="G45" s="142">
        <v>2.4312499999999999</v>
      </c>
      <c r="H45" s="84">
        <f t="shared" si="3"/>
        <v>2.4300000000000002</v>
      </c>
    </row>
    <row r="46" spans="1:10" x14ac:dyDescent="0.25">
      <c r="A46" s="85"/>
      <c r="B46" s="90"/>
      <c r="C46" s="91"/>
      <c r="D46" s="82" t="s">
        <v>27</v>
      </c>
      <c r="E46" s="81"/>
      <c r="F46" s="95"/>
      <c r="G46" s="96"/>
      <c r="H46" s="96">
        <f>SUBTOTAL(9,H43:H45)</f>
        <v>11.36</v>
      </c>
    </row>
    <row r="47" spans="1:10" x14ac:dyDescent="0.25">
      <c r="A47" s="85"/>
      <c r="B47" s="90"/>
      <c r="C47" s="91"/>
      <c r="D47" s="92"/>
      <c r="E47" s="93"/>
      <c r="F47" s="83"/>
      <c r="G47" s="142"/>
      <c r="H47" s="84"/>
    </row>
    <row r="48" spans="1:10" ht="30" x14ac:dyDescent="0.25">
      <c r="A48" s="126" t="s">
        <v>124</v>
      </c>
      <c r="B48" s="90"/>
      <c r="C48" s="81" t="s">
        <v>111</v>
      </c>
      <c r="D48" s="127" t="s">
        <v>125</v>
      </c>
      <c r="E48" s="143" t="s">
        <v>9</v>
      </c>
      <c r="F48" s="83"/>
      <c r="G48" s="142"/>
      <c r="H48" s="84"/>
    </row>
    <row r="49" spans="1:12" x14ac:dyDescent="0.25">
      <c r="A49" s="85"/>
      <c r="B49" s="135" t="s">
        <v>78</v>
      </c>
      <c r="C49" s="136">
        <v>7304</v>
      </c>
      <c r="D49" s="137" t="s">
        <v>63</v>
      </c>
      <c r="E49" s="136" t="s">
        <v>57</v>
      </c>
      <c r="F49" s="138">
        <v>1.0460000000000001E-2</v>
      </c>
      <c r="G49" s="139" t="s">
        <v>127</v>
      </c>
      <c r="H49" s="139">
        <f>ROUND(F49*G49,2)</f>
        <v>0.81</v>
      </c>
    </row>
    <row r="50" spans="1:12" ht="31.5" x14ac:dyDescent="0.25">
      <c r="A50" s="85"/>
      <c r="B50" s="135" t="s">
        <v>47</v>
      </c>
      <c r="C50" s="136">
        <v>88312</v>
      </c>
      <c r="D50" s="137" t="s">
        <v>62</v>
      </c>
      <c r="E50" s="136" t="s">
        <v>14</v>
      </c>
      <c r="F50" s="138">
        <v>0.25</v>
      </c>
      <c r="G50" s="139">
        <v>37.380000000000003</v>
      </c>
      <c r="H50" s="139">
        <f>ROUND(F50*G50,2)</f>
        <v>9.35</v>
      </c>
    </row>
    <row r="51" spans="1:12" x14ac:dyDescent="0.25">
      <c r="A51" s="85"/>
      <c r="B51" s="90"/>
      <c r="C51" s="91"/>
      <c r="D51" s="82" t="s">
        <v>27</v>
      </c>
      <c r="E51" s="81"/>
      <c r="F51" s="95"/>
      <c r="G51" s="96"/>
      <c r="H51" s="96">
        <f>SUBTOTAL(9,H49:H50)</f>
        <v>10.16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O26"/>
  <sheetViews>
    <sheetView zoomScale="70" zoomScaleNormal="70" workbookViewId="0">
      <selection activeCell="I5" sqref="I5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101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122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10</v>
      </c>
      <c r="B6" s="210" t="s">
        <v>135</v>
      </c>
      <c r="C6" s="210"/>
      <c r="D6" s="210"/>
      <c r="E6" s="210"/>
      <c r="F6" s="210"/>
      <c r="G6" s="210"/>
      <c r="H6" s="210"/>
    </row>
    <row r="7" spans="1:15" s="43" customFormat="1" x14ac:dyDescent="0.2">
      <c r="C7" s="26"/>
    </row>
    <row r="8" spans="1:15" s="43" customFormat="1" ht="25.5" x14ac:dyDescent="0.2">
      <c r="A8" s="211" t="s">
        <v>30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31</v>
      </c>
      <c r="D10" s="48" t="s">
        <v>32</v>
      </c>
      <c r="E10" s="48" t="s">
        <v>33</v>
      </c>
      <c r="F10" s="48" t="s">
        <v>34</v>
      </c>
      <c r="G10" s="48" t="s">
        <v>35</v>
      </c>
      <c r="H10" s="48" t="s">
        <v>36</v>
      </c>
      <c r="I10" s="48" t="s">
        <v>37</v>
      </c>
      <c r="J10" s="48" t="s">
        <v>38</v>
      </c>
      <c r="K10" s="48" t="s">
        <v>39</v>
      </c>
    </row>
    <row r="11" spans="1:15" s="45" customFormat="1" ht="35.1" customHeight="1" x14ac:dyDescent="0.2">
      <c r="A11" s="47" t="s">
        <v>6</v>
      </c>
      <c r="B11" s="48" t="s">
        <v>74</v>
      </c>
      <c r="C11" s="60">
        <f>ANALÍTICO!I14</f>
        <v>30796.51</v>
      </c>
      <c r="D11" s="63">
        <f>$C$11/7</f>
        <v>4399.5014285714287</v>
      </c>
      <c r="E11" s="63">
        <f>$C$11/7</f>
        <v>4399.5014285714287</v>
      </c>
      <c r="F11" s="63">
        <f t="shared" ref="F11:J11" si="0">$C$11/7</f>
        <v>4399.5014285714287</v>
      </c>
      <c r="G11" s="63">
        <f t="shared" si="0"/>
        <v>4399.5014285714287</v>
      </c>
      <c r="H11" s="63">
        <f t="shared" si="0"/>
        <v>4399.5014285714287</v>
      </c>
      <c r="I11" s="63">
        <f t="shared" si="0"/>
        <v>4399.5014285714287</v>
      </c>
      <c r="J11" s="63">
        <f t="shared" si="0"/>
        <v>4399.5014285714287</v>
      </c>
      <c r="K11" s="63">
        <f>SUM(D11:J11)</f>
        <v>30796.51</v>
      </c>
      <c r="N11" s="67"/>
    </row>
    <row r="12" spans="1:15" s="45" customFormat="1" ht="35.1" customHeight="1" x14ac:dyDescent="0.2">
      <c r="A12" s="47" t="s">
        <v>7</v>
      </c>
      <c r="B12" s="48" t="s">
        <v>106</v>
      </c>
      <c r="C12" s="60">
        <f>ANALÍTICO!I16</f>
        <v>68894.55</v>
      </c>
      <c r="D12" s="63">
        <f t="shared" ref="D12:D14" si="1">$C12/7/2</f>
        <v>4921.0392857142861</v>
      </c>
      <c r="E12" s="63">
        <f t="shared" ref="E12:E14" si="2">$C12/6</f>
        <v>11482.425000000001</v>
      </c>
      <c r="F12" s="63">
        <f t="shared" ref="F12:I14" si="3">$C12/6</f>
        <v>11482.425000000001</v>
      </c>
      <c r="G12" s="63">
        <f t="shared" si="3"/>
        <v>11482.425000000001</v>
      </c>
      <c r="H12" s="63">
        <f t="shared" si="3"/>
        <v>11482.425000000001</v>
      </c>
      <c r="I12" s="63">
        <f t="shared" si="3"/>
        <v>11482.425000000001</v>
      </c>
      <c r="J12" s="63">
        <f t="shared" ref="J12" si="4">C12-SUM(D12:I12)</f>
        <v>6561.3857142857087</v>
      </c>
      <c r="K12" s="63">
        <f t="shared" ref="K12" si="5">SUM(D12:J12)</f>
        <v>68894.55</v>
      </c>
      <c r="L12" s="64"/>
      <c r="N12" s="67"/>
    </row>
    <row r="13" spans="1:15" s="53" customFormat="1" ht="36.75" customHeight="1" x14ac:dyDescent="0.25">
      <c r="A13" s="71" t="s">
        <v>29</v>
      </c>
      <c r="B13" s="50" t="s">
        <v>104</v>
      </c>
      <c r="C13" s="51">
        <f>ANALÍTICO!I22</f>
        <v>798628.8</v>
      </c>
      <c r="D13" s="52">
        <f>$C13/7/2</f>
        <v>57044.914285714287</v>
      </c>
      <c r="E13" s="52">
        <f>$C13/6</f>
        <v>133104.80000000002</v>
      </c>
      <c r="F13" s="52">
        <f t="shared" si="3"/>
        <v>133104.80000000002</v>
      </c>
      <c r="G13" s="52">
        <f t="shared" si="3"/>
        <v>133104.80000000002</v>
      </c>
      <c r="H13" s="52">
        <f t="shared" si="3"/>
        <v>133104.80000000002</v>
      </c>
      <c r="I13" s="52">
        <f t="shared" si="3"/>
        <v>133104.80000000002</v>
      </c>
      <c r="J13" s="52">
        <f>C13-SUM(D13:I13)</f>
        <v>76059.885714285541</v>
      </c>
      <c r="K13" s="52">
        <f t="shared" ref="K13:K17" si="6">SUM(D13:J13)</f>
        <v>798628.8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107</v>
      </c>
      <c r="C14" s="51">
        <f>ANALÍTICO!I25</f>
        <v>5695977.5999999996</v>
      </c>
      <c r="D14" s="52">
        <f t="shared" si="1"/>
        <v>406855.54285714281</v>
      </c>
      <c r="E14" s="52">
        <f t="shared" si="2"/>
        <v>949329.6</v>
      </c>
      <c r="F14" s="52">
        <f t="shared" si="3"/>
        <v>949329.6</v>
      </c>
      <c r="G14" s="52">
        <f t="shared" si="3"/>
        <v>949329.6</v>
      </c>
      <c r="H14" s="52">
        <f t="shared" si="3"/>
        <v>949329.6</v>
      </c>
      <c r="I14" s="52">
        <f t="shared" si="3"/>
        <v>949329.6</v>
      </c>
      <c r="J14" s="52">
        <f t="shared" ref="J14" si="7">C14-SUM(D14:I14)</f>
        <v>542474.05714285746</v>
      </c>
      <c r="K14" s="52">
        <f t="shared" si="6"/>
        <v>5695977.5999999996</v>
      </c>
      <c r="M14" s="45"/>
      <c r="N14" s="66"/>
      <c r="O14" s="45"/>
    </row>
    <row r="15" spans="1:15" s="53" customFormat="1" x14ac:dyDescent="0.25">
      <c r="A15" s="72" t="s">
        <v>53</v>
      </c>
      <c r="B15" s="68" t="s">
        <v>123</v>
      </c>
      <c r="C15" s="51">
        <f>ANALÍTICO!I29</f>
        <v>78506.69</v>
      </c>
      <c r="D15" s="52">
        <f>$C15/7</f>
        <v>11215.241428571429</v>
      </c>
      <c r="E15" s="52">
        <f t="shared" ref="E15:J15" si="8">$C15/7</f>
        <v>11215.241428571429</v>
      </c>
      <c r="F15" s="52">
        <f t="shared" si="8"/>
        <v>11215.241428571429</v>
      </c>
      <c r="G15" s="52">
        <f t="shared" si="8"/>
        <v>11215.241428571429</v>
      </c>
      <c r="H15" s="52">
        <f t="shared" si="8"/>
        <v>11215.241428571429</v>
      </c>
      <c r="I15" s="52">
        <f t="shared" si="8"/>
        <v>11215.241428571429</v>
      </c>
      <c r="J15" s="52">
        <f t="shared" si="8"/>
        <v>11215.241428571429</v>
      </c>
      <c r="K15" s="52">
        <f t="shared" si="6"/>
        <v>78506.690000000017</v>
      </c>
      <c r="M15" s="45"/>
      <c r="N15" s="66"/>
      <c r="O15" s="45"/>
    </row>
    <row r="16" spans="1:15" s="54" customFormat="1" ht="35.1" customHeight="1" x14ac:dyDescent="0.25">
      <c r="A16" s="49"/>
      <c r="B16" s="50" t="s">
        <v>73</v>
      </c>
      <c r="C16" s="51">
        <f>ANALÍTICO!I33</f>
        <v>6672804.1500000004</v>
      </c>
      <c r="D16" s="52">
        <f>SUM(D11:D15)</f>
        <v>484436.23928571423</v>
      </c>
      <c r="E16" s="52">
        <f t="shared" ref="E16:J16" si="9">SUM(E11:E15)</f>
        <v>1109531.567857143</v>
      </c>
      <c r="F16" s="52">
        <f t="shared" si="9"/>
        <v>1109531.567857143</v>
      </c>
      <c r="G16" s="52">
        <f t="shared" si="9"/>
        <v>1109531.567857143</v>
      </c>
      <c r="H16" s="52">
        <f t="shared" si="9"/>
        <v>1109531.567857143</v>
      </c>
      <c r="I16" s="52">
        <f t="shared" si="9"/>
        <v>1109531.567857143</v>
      </c>
      <c r="J16" s="52">
        <f t="shared" si="9"/>
        <v>640710.07142857148</v>
      </c>
      <c r="K16" s="51">
        <f>C16</f>
        <v>6672804.1500000004</v>
      </c>
      <c r="M16" s="45"/>
    </row>
    <row r="17" spans="1:11" ht="35.1" customHeight="1" x14ac:dyDescent="0.25">
      <c r="A17" s="49"/>
      <c r="B17" s="50" t="s">
        <v>40</v>
      </c>
      <c r="C17" s="28">
        <f>C16/C16</f>
        <v>1</v>
      </c>
      <c r="D17" s="27">
        <f>D16/$C$16</f>
        <v>7.2598599988239462E-2</v>
      </c>
      <c r="E17" s="27">
        <f t="shared" ref="E17:J17" si="10">E16/$C$16</f>
        <v>0.16627665714677733</v>
      </c>
      <c r="F17" s="27">
        <f t="shared" si="10"/>
        <v>0.16627665714677733</v>
      </c>
      <c r="G17" s="27">
        <f t="shared" si="10"/>
        <v>0.16627665714677733</v>
      </c>
      <c r="H17" s="27">
        <f t="shared" si="10"/>
        <v>0.16627665714677733</v>
      </c>
      <c r="I17" s="27">
        <f t="shared" si="10"/>
        <v>0.16627665714677733</v>
      </c>
      <c r="J17" s="27">
        <f t="shared" si="10"/>
        <v>9.6018114277873934E-2</v>
      </c>
      <c r="K17" s="28">
        <f t="shared" si="6"/>
        <v>1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2667000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"/>
  <sheetViews>
    <sheetView view="pageBreakPreview" zoomScale="60" zoomScaleNormal="100"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F41"/>
  <sheetViews>
    <sheetView tabSelected="1" view="pageBreakPreview" zoomScale="60" zoomScaleNormal="100" workbookViewId="0">
      <selection activeCell="K20" sqref="K20"/>
    </sheetView>
  </sheetViews>
  <sheetFormatPr defaultRowHeight="12.75" x14ac:dyDescent="0.2"/>
  <cols>
    <col min="3" max="3" width="35.140625" customWidth="1"/>
    <col min="4" max="4" width="24.7109375" customWidth="1"/>
    <col min="5" max="5" width="21.7109375" customWidth="1"/>
  </cols>
  <sheetData>
    <row r="2" spans="1:6" ht="14.25" x14ac:dyDescent="0.2">
      <c r="A2" s="212" t="s">
        <v>154</v>
      </c>
      <c r="B2" s="212"/>
      <c r="C2" s="212"/>
      <c r="D2" s="212"/>
      <c r="E2" s="212"/>
      <c r="F2" s="212"/>
    </row>
    <row r="3" spans="1:6" ht="16.5" x14ac:dyDescent="0.3">
      <c r="A3" s="144"/>
      <c r="B3" s="144"/>
      <c r="C3" s="144"/>
      <c r="D3" s="144"/>
      <c r="E3" s="144"/>
      <c r="F3" s="144"/>
    </row>
    <row r="4" spans="1:6" ht="16.5" x14ac:dyDescent="0.3">
      <c r="A4" s="144"/>
      <c r="B4" s="145" t="s">
        <v>2</v>
      </c>
      <c r="C4" s="145" t="s">
        <v>137</v>
      </c>
      <c r="D4" s="145" t="s">
        <v>138</v>
      </c>
      <c r="E4" s="146" t="s">
        <v>139</v>
      </c>
      <c r="F4" s="147"/>
    </row>
    <row r="5" spans="1:6" ht="16.5" x14ac:dyDescent="0.3">
      <c r="A5" s="144"/>
      <c r="B5" s="148"/>
      <c r="C5" s="148"/>
      <c r="D5" s="148"/>
      <c r="E5" s="149"/>
      <c r="F5" s="144"/>
    </row>
    <row r="6" spans="1:6" ht="16.5" x14ac:dyDescent="0.3">
      <c r="A6" s="144"/>
      <c r="B6" s="150">
        <v>1</v>
      </c>
      <c r="C6" s="151" t="s">
        <v>140</v>
      </c>
      <c r="D6" s="152"/>
      <c r="E6" s="153">
        <v>5.4300000000000001E-2</v>
      </c>
      <c r="F6" s="154"/>
    </row>
    <row r="7" spans="1:6" ht="16.5" x14ac:dyDescent="0.3">
      <c r="A7" s="144"/>
      <c r="B7" s="148"/>
      <c r="C7" s="148"/>
      <c r="D7" s="152"/>
      <c r="E7" s="155"/>
      <c r="F7" s="156"/>
    </row>
    <row r="8" spans="1:6" ht="16.5" x14ac:dyDescent="0.3">
      <c r="A8" s="144"/>
      <c r="B8" s="150">
        <v>2</v>
      </c>
      <c r="C8" s="151" t="s">
        <v>141</v>
      </c>
      <c r="D8" s="157">
        <f>SUM(D9:D11)</f>
        <v>6.6500000000000004E-2</v>
      </c>
      <c r="E8" s="153">
        <f>+D8*(1+E18)</f>
        <v>8.2126480416443493E-2</v>
      </c>
      <c r="F8" s="154"/>
    </row>
    <row r="9" spans="1:6" ht="16.5" x14ac:dyDescent="0.3">
      <c r="A9" s="144"/>
      <c r="B9" s="152" t="s">
        <v>142</v>
      </c>
      <c r="C9" s="148" t="s">
        <v>143</v>
      </c>
      <c r="D9" s="158">
        <v>0.03</v>
      </c>
      <c r="E9" s="159">
        <f>+D9*(1+E18)</f>
        <v>3.7049540037493299E-2</v>
      </c>
      <c r="F9" s="160"/>
    </row>
    <row r="10" spans="1:6" ht="16.5" x14ac:dyDescent="0.3">
      <c r="A10" s="144"/>
      <c r="B10" s="152" t="s">
        <v>144</v>
      </c>
      <c r="C10" s="148" t="s">
        <v>145</v>
      </c>
      <c r="D10" s="158">
        <v>6.4999999999999997E-3</v>
      </c>
      <c r="E10" s="159">
        <f>+D10*(1+E18)</f>
        <v>8.0274003414568806E-3</v>
      </c>
      <c r="F10" s="160"/>
    </row>
    <row r="11" spans="1:6" ht="16.5" x14ac:dyDescent="0.3">
      <c r="A11" s="144"/>
      <c r="B11" s="152" t="s">
        <v>146</v>
      </c>
      <c r="C11" s="148" t="s">
        <v>147</v>
      </c>
      <c r="D11" s="158">
        <v>0.03</v>
      </c>
      <c r="E11" s="159">
        <f>+D11*(1+E18)</f>
        <v>3.7049540037493299E-2</v>
      </c>
      <c r="F11" s="160"/>
    </row>
    <row r="12" spans="1:6" ht="16.5" x14ac:dyDescent="0.3">
      <c r="A12" s="144"/>
      <c r="B12" s="148"/>
      <c r="C12" s="148"/>
      <c r="D12" s="148"/>
      <c r="E12" s="149"/>
      <c r="F12" s="144"/>
    </row>
    <row r="13" spans="1:6" ht="16.5" x14ac:dyDescent="0.3">
      <c r="A13" s="144"/>
      <c r="B13" s="150">
        <v>3</v>
      </c>
      <c r="C13" s="151" t="s">
        <v>148</v>
      </c>
      <c r="D13" s="148"/>
      <c r="E13" s="153">
        <v>0.02</v>
      </c>
      <c r="F13" s="154"/>
    </row>
    <row r="14" spans="1:6" ht="16.5" x14ac:dyDescent="0.3">
      <c r="A14" s="144"/>
      <c r="B14" s="148"/>
      <c r="C14" s="148"/>
      <c r="D14" s="148"/>
      <c r="E14" s="161"/>
      <c r="F14" s="162"/>
    </row>
    <row r="15" spans="1:6" ht="16.5" x14ac:dyDescent="0.3">
      <c r="A15" s="144"/>
      <c r="B15" s="150">
        <v>4</v>
      </c>
      <c r="C15" s="151" t="s">
        <v>149</v>
      </c>
      <c r="D15" s="148"/>
      <c r="E15" s="153">
        <v>0.01</v>
      </c>
      <c r="F15" s="154"/>
    </row>
    <row r="16" spans="1:6" ht="16.5" x14ac:dyDescent="0.3">
      <c r="A16" s="144"/>
      <c r="B16" s="152"/>
      <c r="C16" s="148"/>
      <c r="D16" s="148"/>
      <c r="E16" s="161"/>
      <c r="F16" s="162"/>
    </row>
    <row r="17" spans="1:6" ht="16.5" x14ac:dyDescent="0.3">
      <c r="A17" s="144"/>
      <c r="B17" s="150">
        <v>5</v>
      </c>
      <c r="C17" s="151" t="s">
        <v>150</v>
      </c>
      <c r="D17" s="148"/>
      <c r="E17" s="153">
        <v>6.25E-2</v>
      </c>
      <c r="F17" s="154"/>
    </row>
    <row r="18" spans="1:6" ht="16.5" x14ac:dyDescent="0.3">
      <c r="A18" s="144"/>
      <c r="B18" s="163"/>
      <c r="C18" s="164"/>
      <c r="D18" s="164" t="s">
        <v>151</v>
      </c>
      <c r="E18" s="165">
        <f>+((((1+E6+E13)*(1+E15)*(1+E17))/(1-D8))-1)</f>
        <v>0.23498466791644335</v>
      </c>
      <c r="F18" s="147"/>
    </row>
    <row r="19" spans="1:6" ht="16.5" x14ac:dyDescent="0.3">
      <c r="A19" s="144"/>
      <c r="B19" s="144"/>
      <c r="C19" s="162"/>
      <c r="D19" s="144"/>
      <c r="E19" s="144"/>
      <c r="F19" s="144"/>
    </row>
    <row r="20" spans="1:6" ht="16.5" x14ac:dyDescent="0.3">
      <c r="A20" s="144"/>
      <c r="B20" s="162" t="s">
        <v>152</v>
      </c>
      <c r="C20" s="144"/>
      <c r="D20" s="144"/>
      <c r="E20" s="144"/>
      <c r="F20" s="144"/>
    </row>
    <row r="21" spans="1:6" ht="16.5" x14ac:dyDescent="0.3">
      <c r="A21" s="144"/>
      <c r="B21" s="162"/>
      <c r="C21" s="144"/>
      <c r="D21" s="144"/>
      <c r="E21" s="144"/>
      <c r="F21" s="144"/>
    </row>
    <row r="22" spans="1:6" ht="16.5" x14ac:dyDescent="0.3">
      <c r="A22" s="144"/>
      <c r="B22" s="166"/>
      <c r="C22" s="166"/>
      <c r="D22" s="166"/>
      <c r="E22" s="166"/>
      <c r="F22" s="166"/>
    </row>
    <row r="23" spans="1:6" ht="14.25" x14ac:dyDescent="0.2">
      <c r="A23" s="212" t="s">
        <v>153</v>
      </c>
      <c r="B23" s="212"/>
      <c r="C23" s="212"/>
      <c r="D23" s="212"/>
      <c r="E23" s="212"/>
      <c r="F23" s="212"/>
    </row>
    <row r="24" spans="1:6" ht="16.5" x14ac:dyDescent="0.3">
      <c r="A24" s="144"/>
      <c r="B24" s="144"/>
      <c r="C24" s="144"/>
      <c r="D24" s="144"/>
      <c r="E24" s="144"/>
      <c r="F24" s="144"/>
    </row>
    <row r="25" spans="1:6" ht="16.5" x14ac:dyDescent="0.3">
      <c r="A25" s="144"/>
      <c r="B25" s="145" t="s">
        <v>2</v>
      </c>
      <c r="C25" s="145" t="s">
        <v>137</v>
      </c>
      <c r="D25" s="145" t="s">
        <v>138</v>
      </c>
      <c r="E25" s="146" t="s">
        <v>139</v>
      </c>
      <c r="F25" s="147"/>
    </row>
    <row r="26" spans="1:6" ht="16.5" x14ac:dyDescent="0.3">
      <c r="A26" s="144"/>
      <c r="B26" s="148"/>
      <c r="C26" s="148"/>
      <c r="D26" s="167"/>
      <c r="E26" s="168"/>
      <c r="F26" s="144"/>
    </row>
    <row r="27" spans="1:6" ht="16.5" x14ac:dyDescent="0.3">
      <c r="A27" s="144"/>
      <c r="B27" s="150">
        <v>1</v>
      </c>
      <c r="C27" s="151" t="s">
        <v>140</v>
      </c>
      <c r="D27" s="169"/>
      <c r="E27" s="157">
        <v>2.2519999999999998E-2</v>
      </c>
      <c r="F27" s="154"/>
    </row>
    <row r="28" spans="1:6" ht="16.5" x14ac:dyDescent="0.3">
      <c r="A28" s="144"/>
      <c r="B28" s="148"/>
      <c r="C28" s="148"/>
      <c r="D28" s="169"/>
      <c r="E28" s="158"/>
      <c r="F28" s="160"/>
    </row>
    <row r="29" spans="1:6" ht="16.5" x14ac:dyDescent="0.3">
      <c r="A29" s="144"/>
      <c r="B29" s="150">
        <v>2</v>
      </c>
      <c r="C29" s="151" t="s">
        <v>141</v>
      </c>
      <c r="D29" s="170">
        <f>SUM(D30:D32)</f>
        <v>3.6499999999999998E-2</v>
      </c>
      <c r="E29" s="157">
        <f>+D29*(1+E39)</f>
        <v>4.0549977925376235E-2</v>
      </c>
      <c r="F29" s="154"/>
    </row>
    <row r="30" spans="1:6" ht="16.5" x14ac:dyDescent="0.3">
      <c r="A30" s="144"/>
      <c r="B30" s="152" t="s">
        <v>142</v>
      </c>
      <c r="C30" s="148" t="s">
        <v>143</v>
      </c>
      <c r="D30" s="171"/>
      <c r="E30" s="158"/>
      <c r="F30" s="160"/>
    </row>
    <row r="31" spans="1:6" ht="16.5" x14ac:dyDescent="0.3">
      <c r="A31" s="144"/>
      <c r="B31" s="152" t="s">
        <v>144</v>
      </c>
      <c r="C31" s="148" t="s">
        <v>145</v>
      </c>
      <c r="D31" s="171">
        <v>6.4999999999999997E-3</v>
      </c>
      <c r="E31" s="158">
        <f>+D31*(1+E39)</f>
        <v>7.2212289456149463E-3</v>
      </c>
      <c r="F31" s="160"/>
    </row>
    <row r="32" spans="1:6" ht="16.5" x14ac:dyDescent="0.3">
      <c r="A32" s="144"/>
      <c r="B32" s="152" t="s">
        <v>146</v>
      </c>
      <c r="C32" s="148" t="s">
        <v>147</v>
      </c>
      <c r="D32" s="171">
        <v>0.03</v>
      </c>
      <c r="E32" s="158">
        <f>+D32*(1+E39)</f>
        <v>3.3328748979761291E-2</v>
      </c>
      <c r="F32" s="160"/>
    </row>
    <row r="33" spans="1:6" ht="16.5" x14ac:dyDescent="0.3">
      <c r="A33" s="144"/>
      <c r="B33" s="148"/>
      <c r="C33" s="148"/>
      <c r="D33" s="172"/>
      <c r="E33" s="173"/>
      <c r="F33" s="174"/>
    </row>
    <row r="34" spans="1:6" ht="16.5" x14ac:dyDescent="0.3">
      <c r="A34" s="144"/>
      <c r="B34" s="150">
        <v>3</v>
      </c>
      <c r="C34" s="151" t="s">
        <v>148</v>
      </c>
      <c r="D34" s="172"/>
      <c r="E34" s="157">
        <v>0.01</v>
      </c>
      <c r="F34" s="154"/>
    </row>
    <row r="35" spans="1:6" ht="16.5" x14ac:dyDescent="0.3">
      <c r="A35" s="144"/>
      <c r="B35" s="148"/>
      <c r="C35" s="148"/>
      <c r="D35" s="172"/>
      <c r="E35" s="175"/>
      <c r="F35" s="147"/>
    </row>
    <row r="36" spans="1:6" ht="16.5" x14ac:dyDescent="0.3">
      <c r="A36" s="144"/>
      <c r="B36" s="150">
        <v>4</v>
      </c>
      <c r="C36" s="151" t="s">
        <v>149</v>
      </c>
      <c r="D36" s="172"/>
      <c r="E36" s="157">
        <v>6.4999999999999997E-3</v>
      </c>
      <c r="F36" s="154"/>
    </row>
    <row r="37" spans="1:6" ht="16.5" x14ac:dyDescent="0.3">
      <c r="A37" s="144"/>
      <c r="B37" s="152"/>
      <c r="C37" s="148"/>
      <c r="D37" s="172"/>
      <c r="E37" s="175"/>
      <c r="F37" s="147"/>
    </row>
    <row r="38" spans="1:6" ht="16.5" x14ac:dyDescent="0.3">
      <c r="A38" s="144"/>
      <c r="B38" s="150">
        <v>5</v>
      </c>
      <c r="C38" s="151" t="s">
        <v>150</v>
      </c>
      <c r="D38" s="172"/>
      <c r="E38" s="157">
        <v>0.03</v>
      </c>
      <c r="F38" s="154"/>
    </row>
    <row r="39" spans="1:6" ht="16.5" x14ac:dyDescent="0.3">
      <c r="A39" s="144"/>
      <c r="B39" s="163"/>
      <c r="C39" s="164"/>
      <c r="D39" s="176" t="s">
        <v>151</v>
      </c>
      <c r="E39" s="177">
        <f>+((((1+E27+E34)*(1+E36)*(1+E38))/(1-D29))-1)</f>
        <v>0.11095829932537637</v>
      </c>
      <c r="F39" s="147"/>
    </row>
    <row r="40" spans="1:6" ht="16.5" x14ac:dyDescent="0.3">
      <c r="A40" s="144"/>
      <c r="B40" s="144"/>
      <c r="C40" s="144"/>
      <c r="D40" s="144"/>
      <c r="E40" s="144"/>
      <c r="F40" s="144"/>
    </row>
    <row r="41" spans="1:6" ht="16.5" x14ac:dyDescent="0.3">
      <c r="A41" s="144"/>
      <c r="B41" s="162" t="s">
        <v>152</v>
      </c>
      <c r="C41" s="144"/>
      <c r="D41" s="144"/>
      <c r="E41" s="144"/>
      <c r="F41" s="144"/>
    </row>
  </sheetData>
  <mergeCells count="2">
    <mergeCell ref="A2:F2"/>
    <mergeCell ref="A23:F23"/>
  </mergeCells>
  <pageMargins left="0.511811024" right="0.511811024" top="0.78740157499999996" bottom="0.78740157499999996" header="0.31496062000000002" footer="0.31496062000000002"/>
  <pageSetup paperSize="9" scale="86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ANALÍTICO</vt:lpstr>
      <vt:lpstr>COMPOSIÇÕES</vt:lpstr>
      <vt:lpstr>Cronograma Físico-Financeiro</vt:lpstr>
      <vt:lpstr>Encargos Sociais</vt:lpstr>
      <vt:lpstr>BDI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Carlos Alberto Santos Pinheiro</cp:lastModifiedBy>
  <cp:lastPrinted>2024-08-30T11:44:47Z</cp:lastPrinted>
  <dcterms:created xsi:type="dcterms:W3CDTF">2009-11-03T19:36:00Z</dcterms:created>
  <dcterms:modified xsi:type="dcterms:W3CDTF">2024-09-26T18:29:42Z</dcterms:modified>
</cp:coreProperties>
</file>