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\1 - PROCESSOS\09009 - 59500.003015-2024-17-e - Módulo Sanitário - Carlos\modulos\"/>
    </mc:Choice>
  </mc:AlternateContent>
  <bookViews>
    <workbookView xWindow="0" yWindow="0" windowWidth="24000" windowHeight="9480" tabRatio="768"/>
  </bookViews>
  <sheets>
    <sheet name="ANALÍTICO" sheetId="6" r:id="rId1"/>
    <sheet name="COMPOSIÇÕES" sheetId="10" r:id="rId2"/>
    <sheet name="Cronograma Físico-Financeiro" sheetId="20" r:id="rId3"/>
    <sheet name="Encargos Sociais" sheetId="21" r:id="rId4"/>
    <sheet name="BDI" sheetId="22" r:id="rId5"/>
  </sheets>
  <externalReferences>
    <externalReference r:id="rId6"/>
    <externalReference r:id="rId7"/>
    <externalReference r:id="rId8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2" l="1"/>
  <c r="D39" i="22" s="1"/>
  <c r="D18" i="22"/>
  <c r="D9" i="22" s="1"/>
  <c r="C8" i="22"/>
  <c r="D8" i="22" s="1"/>
  <c r="D32" i="22" l="1"/>
  <c r="D31" i="22"/>
  <c r="D29" i="22"/>
  <c r="D10" i="22"/>
  <c r="D11" i="22"/>
  <c r="B6" i="6"/>
  <c r="F31" i="6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I26" i="6" l="1"/>
  <c r="I25" i="6" s="1"/>
  <c r="C14" i="20" s="1"/>
  <c r="J29" i="6"/>
  <c r="C15" i="20"/>
  <c r="J27" i="6"/>
  <c r="I14" i="6"/>
  <c r="C11" i="20" s="1"/>
  <c r="I17" i="6"/>
  <c r="J17" i="6" s="1"/>
  <c r="I23" i="6"/>
  <c r="J23" i="6" s="1"/>
  <c r="H20" i="6"/>
  <c r="H18" i="6"/>
  <c r="J26" i="6" l="1"/>
  <c r="J15" i="20"/>
  <c r="D15" i="20"/>
  <c r="E15" i="20"/>
  <c r="G15" i="20"/>
  <c r="H15" i="20"/>
  <c r="F15" i="20"/>
  <c r="I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D13" i="20" s="1"/>
  <c r="J14" i="20"/>
  <c r="K11" i="20"/>
  <c r="G13" i="20" l="1"/>
  <c r="E13" i="20"/>
  <c r="I13" i="20"/>
  <c r="F13" i="20"/>
  <c r="H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6" i="20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K16" i="20" l="1"/>
  <c r="C17" i="20"/>
  <c r="J12" i="20"/>
  <c r="I17" i="20"/>
  <c r="G17" i="20"/>
  <c r="C18" i="20"/>
  <c r="F17" i="20"/>
  <c r="H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>
  <authors>
    <author/>
  </authors>
  <commentList>
    <comment ref="C49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<sst xmlns="http://schemas.openxmlformats.org/spreadsheetml/2006/main" count="269" uniqueCount="155">
  <si>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</si>
  <si>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</si>
  <si>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</si>
  <si>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</si>
  <si>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</si>
  <si>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</si>
  <si>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</si>
  <si>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</si>
  <si>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</si>
  <si>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</si>
  <si>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</si>
  <si>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</si>
  <si>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</si>
  <si>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</si>
  <si>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</si>
  <si>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</si>
  <si>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</si>
  <si>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</si>
  <si>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</si>
  <si>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</si>
  <si>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</si>
  <si>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</si>
  <si>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</si>
  <si>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</si>
  <si>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</si>
  <si>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</si>
  <si>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</si>
  <si>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</si>
  <si>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</si>
  <si>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</si>
  <si>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</si>
  <si>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</si>
  <si>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</si>
  <si>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</si>
  <si>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</si>
  <si>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</si>
  <si>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</si>
  <si>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</si>
  <si>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</si>
  <si>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</si>
  <si>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</si>
  <si>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</si>
  <si>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</si>
  <si>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</si>
  <si>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</si>
  <si>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</si>
  <si>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</si>
  <si>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</si>
  <si>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</si>
  <si>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</si>
  <si>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</si>
  <si>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</si>
  <si>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</si>
  <si>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</si>
  <si>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</si>
  <si>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</si>
  <si>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10,35</t>
  </si>
  <si>
    <t>L</t>
  </si>
  <si>
    <t>PREGO DE ACO POLIDO COM CABECA 18 X 30 (2 3/4 X 10)</t>
  </si>
  <si>
    <t>PONTALETE *7,5 X 7,5* CM EM PINUS, MISTA OU EQUIVALENTE DA REGIAO - BRUTA</t>
  </si>
  <si>
    <t>15,77</t>
  </si>
  <si>
    <t>7,42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</si>
  <si>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</si>
  <si>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</si>
  <si>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</si>
  <si>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</si>
  <si>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</si>
  <si>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</si>
  <si>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</si>
  <si>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</si>
  <si>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</si>
  <si>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</si>
  <si>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</si>
  <si>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</si>
  <si>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</si>
  <si>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</si>
  <si>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</si>
  <si>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</si>
  <si>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</si>
  <si>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</si>
  <si>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</si>
  <si>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</si>
  <si>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</si>
  <si>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</si>
  <si>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</si>
  <si>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</si>
  <si>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</si>
  <si>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</si>
  <si>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</si>
  <si>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</si>
  <si>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</si>
  <si>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</si>
  <si>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</si>
  <si>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</si>
  <si>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</si>
  <si>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</si>
  <si>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</si>
  <si>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</si>
  <si>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</si>
  <si>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</si>
  <si>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</si>
  <si>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250,00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</si>
  <si>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</si>
  <si>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</si>
  <si>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</si>
  <si>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</si>
  <si>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</si>
  <si>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</si>
  <si>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</si>
  <si>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</si>
  <si>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</si>
  <si>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</si>
  <si>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</si>
  <si>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</si>
  <si>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</si>
  <si>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</si>
  <si>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</si>
  <si>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</si>
  <si>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</si>
  <si>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</si>
  <si>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</si>
  <si>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</si>
  <si>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</si>
  <si>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</si>
  <si>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</si>
  <si>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</si>
  <si>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</si>
  <si>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</si>
  <si>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PERNAMBUCO</t>
  </si>
  <si>
    <t>89,35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</si>
  <si>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</si>
  <si>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</si>
  <si>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</si>
  <si>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</si>
  <si>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</si>
  <si>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</si>
  <si>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PERNAMBUCO</t>
  </si>
  <si>
    <t>COTAÇÃO 03</t>
  </si>
  <si>
    <t xml:space="preserve">           DETALHAMENTO BDI -  SEM DESONERAÇÃO</t>
  </si>
  <si>
    <t>DESCRIÇÃO DOS SERVIÇOS</t>
  </si>
  <si>
    <t>PREÇO DE VENDA (%)</t>
  </si>
  <si>
    <t>CUSTO DIRETO (%)</t>
  </si>
  <si>
    <t>ADMINISTRAÇÃO CENTRAL (AC)</t>
  </si>
  <si>
    <t>IMPOSTOS E TAXAS (I)</t>
  </si>
  <si>
    <t>2.1</t>
  </si>
  <si>
    <t>ISS</t>
  </si>
  <si>
    <t>2.2</t>
  </si>
  <si>
    <t>PIS</t>
  </si>
  <si>
    <t>2.3</t>
  </si>
  <si>
    <t>COFINS</t>
  </si>
  <si>
    <t>RISCO, SEGURO E GARANTIA (R)</t>
  </si>
  <si>
    <t>DESPESAS FINANCEIRAS (DF)</t>
  </si>
  <si>
    <t>LUCRO (L)</t>
  </si>
  <si>
    <t>BDI (%)</t>
  </si>
  <si>
    <t>BDI(%)=((((1+AC+R)*(1+DF)*(1+L)/(1-I))-1)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</si>
</sst>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sz val="11"/>
      <color rgb="FF000000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8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42" fillId="0" borderId="0"/>
    <xf numFmtId="0" fontId="1" fillId="0" borderId="0"/>
  </cellStyleXfs>
  <cellXfs count="209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4" fontId="23" fillId="0" borderId="1" xfId="21" applyNumberFormat="1" applyFont="1" applyFill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35" fillId="2" borderId="1" xfId="2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44" fillId="0" borderId="0" xfId="0" applyFont="1"/>
    <xf numFmtId="0" fontId="43" fillId="6" borderId="1" xfId="0" applyFont="1" applyFill="1" applyBorder="1" applyAlignment="1">
      <alignment horizontal="center" vertical="center"/>
    </xf>
    <xf numFmtId="0" fontId="43" fillId="6" borderId="3" xfId="0" applyFont="1" applyFill="1" applyBorder="1" applyAlignment="1">
      <alignment horizontal="center" vertical="center"/>
    </xf>
    <xf numFmtId="0" fontId="44" fillId="0" borderId="6" xfId="0" applyFont="1" applyBorder="1"/>
    <xf numFmtId="0" fontId="44" fillId="0" borderId="5" xfId="0" applyFont="1" applyBorder="1"/>
    <xf numFmtId="0" fontId="43" fillId="0" borderId="6" xfId="0" applyFont="1" applyBorder="1" applyAlignment="1">
      <alignment horizontal="center"/>
    </xf>
    <xf numFmtId="0" fontId="43" fillId="0" borderId="6" xfId="0" applyFont="1" applyBorder="1"/>
    <xf numFmtId="0" fontId="44" fillId="0" borderId="6" xfId="0" applyFont="1" applyBorder="1" applyAlignment="1">
      <alignment horizontal="center"/>
    </xf>
    <xf numFmtId="10" fontId="43" fillId="0" borderId="5" xfId="0" applyNumberFormat="1" applyFont="1" applyBorder="1" applyAlignment="1">
      <alignment horizontal="center"/>
    </xf>
    <xf numFmtId="0" fontId="44" fillId="0" borderId="5" xfId="0" applyFont="1" applyBorder="1" applyAlignment="1">
      <alignment horizontal="center"/>
    </xf>
    <xf numFmtId="10" fontId="43" fillId="0" borderId="6" xfId="0" applyNumberFormat="1" applyFont="1" applyBorder="1" applyAlignment="1">
      <alignment horizontal="center"/>
    </xf>
    <xf numFmtId="10" fontId="44" fillId="0" borderId="6" xfId="0" applyNumberFormat="1" applyFont="1" applyBorder="1" applyAlignment="1">
      <alignment horizontal="center"/>
    </xf>
    <xf numFmtId="10" fontId="44" fillId="0" borderId="5" xfId="0" applyNumberFormat="1" applyFont="1" applyBorder="1" applyAlignment="1">
      <alignment horizontal="center"/>
    </xf>
    <xf numFmtId="0" fontId="43" fillId="0" borderId="5" xfId="0" applyFont="1" applyBorder="1"/>
    <xf numFmtId="0" fontId="44" fillId="0" borderId="7" xfId="0" applyFont="1" applyBorder="1"/>
    <xf numFmtId="0" fontId="43" fillId="0" borderId="7" xfId="0" applyFont="1" applyBorder="1" applyAlignment="1">
      <alignment horizontal="right"/>
    </xf>
    <xf numFmtId="10" fontId="45" fillId="0" borderId="8" xfId="0" applyNumberFormat="1" applyFont="1" applyBorder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 vertical="center"/>
    </xf>
    <xf numFmtId="0" fontId="44" fillId="0" borderId="9" xfId="0" applyFont="1" applyBorder="1"/>
    <xf numFmtId="0" fontId="44" fillId="0" borderId="10" xfId="0" applyFont="1" applyBorder="1"/>
    <xf numFmtId="2" fontId="44" fillId="0" borderId="9" xfId="0" applyNumberFormat="1" applyFont="1" applyBorder="1" applyAlignment="1">
      <alignment horizontal="center"/>
    </xf>
    <xf numFmtId="10" fontId="43" fillId="0" borderId="9" xfId="0" applyNumberFormat="1" applyFont="1" applyBorder="1" applyAlignment="1">
      <alignment horizontal="center"/>
    </xf>
    <xf numFmtId="10" fontId="44" fillId="0" borderId="9" xfId="0" applyNumberFormat="1" applyFont="1" applyBorder="1" applyAlignment="1">
      <alignment horizontal="center"/>
    </xf>
    <xf numFmtId="2" fontId="44" fillId="0" borderId="9" xfId="0" applyNumberFormat="1" applyFont="1" applyBorder="1"/>
    <xf numFmtId="10" fontId="44" fillId="0" borderId="6" xfId="0" applyNumberFormat="1" applyFont="1" applyBorder="1"/>
    <xf numFmtId="10" fontId="43" fillId="0" borderId="6" xfId="0" applyNumberFormat="1" applyFont="1" applyBorder="1"/>
    <xf numFmtId="0" fontId="43" fillId="0" borderId="11" xfId="0" applyFont="1" applyBorder="1" applyAlignment="1">
      <alignment horizontal="right"/>
    </xf>
    <xf numFmtId="10" fontId="45" fillId="4" borderId="12" xfId="0" applyNumberFormat="1" applyFont="1" applyFill="1" applyBorder="1" applyAlignment="1">
      <alignment horizontal="center"/>
    </xf>
  </cellXfs>
  <cellStyles count="168">
    <cellStyle name="Moeda" xfId="26" builtinId="4"/>
    <cellStyle name="Moeda 2" xfId="15"/>
    <cellStyle name="Moeda 3" xfId="34"/>
    <cellStyle name="Moeda 4" xfId="82"/>
    <cellStyle name="Normal" xfId="0" builtinId="0"/>
    <cellStyle name="Normal 10" xfId="166"/>
    <cellStyle name="Normal 10 2" xfId="167"/>
    <cellStyle name="Normal 11" xfId="165"/>
    <cellStyle name="Normal 2" xfId="4"/>
    <cellStyle name="Normal 2 2" xfId="23"/>
    <cellStyle name="Normal 2 2 2" xfId="29"/>
    <cellStyle name="Normal 2 3" xfId="30"/>
    <cellStyle name="Normal 2 3 2" xfId="35"/>
    <cellStyle name="Normal 2 3 2 2" xfId="117"/>
    <cellStyle name="Normal 2 3 2 3" xfId="149"/>
    <cellStyle name="Normal 2 3 2 4" xfId="99"/>
    <cellStyle name="Normal 2 3 3" xfId="83"/>
    <cellStyle name="Normal 2 3 4" xfId="115"/>
    <cellStyle name="Normal 2 3 5" xfId="147"/>
    <cellStyle name="Normal 2 3 6" xfId="66"/>
    <cellStyle name="Normal 2 4" xfId="36"/>
    <cellStyle name="Normal 2 4 2" xfId="118"/>
    <cellStyle name="Normal 2 4 3" xfId="150"/>
    <cellStyle name="Normal 2 4 4" xfId="84"/>
    <cellStyle name="Normal 2 5" xfId="37"/>
    <cellStyle name="Normal 2 5 2" xfId="119"/>
    <cellStyle name="Normal 2 5 3" xfId="151"/>
    <cellStyle name="Normal 2 5 4" xfId="85"/>
    <cellStyle name="Normal 2 6" xfId="68"/>
    <cellStyle name="Normal 2 7" xfId="101"/>
    <cellStyle name="Normal 2 8" xfId="133"/>
    <cellStyle name="Normal 2 9" xfId="52"/>
    <cellStyle name="Normal 205" xfId="31"/>
    <cellStyle name="Normal 3" xfId="6"/>
    <cellStyle name="Normal 3 2" xfId="11"/>
    <cellStyle name="Normal 3 3" xfId="28"/>
    <cellStyle name="Normal 3 4" xfId="38"/>
    <cellStyle name="Normal 3 4 2" xfId="120"/>
    <cellStyle name="Normal 3 4 3" xfId="152"/>
    <cellStyle name="Normal 3 4 4" xfId="87"/>
    <cellStyle name="Normal 3 5" xfId="70"/>
    <cellStyle name="Normal 3 6" xfId="103"/>
    <cellStyle name="Normal 3 7" xfId="135"/>
    <cellStyle name="Normal 3 8" xfId="54"/>
    <cellStyle name="Normal 4" xfId="9"/>
    <cellStyle name="Normal 4 2" xfId="12"/>
    <cellStyle name="Normal 4 2 2" xfId="39"/>
    <cellStyle name="Normal 4 2 2 2" xfId="121"/>
    <cellStyle name="Normal 4 2 2 3" xfId="153"/>
    <cellStyle name="Normal 4 2 2 4" xfId="92"/>
    <cellStyle name="Normal 4 2 3" xfId="75"/>
    <cellStyle name="Normal 4 2 4" xfId="108"/>
    <cellStyle name="Normal 4 2 5" xfId="140"/>
    <cellStyle name="Normal 4 2 6" xfId="59"/>
    <cellStyle name="Normal 4 3" xfId="40"/>
    <cellStyle name="Normal 4 3 2" xfId="122"/>
    <cellStyle name="Normal 4 3 3" xfId="154"/>
    <cellStyle name="Normal 4 3 4" xfId="90"/>
    <cellStyle name="Normal 4 4" xfId="73"/>
    <cellStyle name="Normal 4 5" xfId="106"/>
    <cellStyle name="Normal 4 6" xfId="138"/>
    <cellStyle name="Normal 4 7" xfId="57"/>
    <cellStyle name="Normal 5" xfId="17"/>
    <cellStyle name="Normal 5 2" xfId="41"/>
    <cellStyle name="Normal 5 2 2" xfId="123"/>
    <cellStyle name="Normal 5 2 3" xfId="155"/>
    <cellStyle name="Normal 5 2 4" xfId="93"/>
    <cellStyle name="Normal 5 3" xfId="76"/>
    <cellStyle name="Normal 5 4" xfId="109"/>
    <cellStyle name="Normal 5 5" xfId="141"/>
    <cellStyle name="Normal 5 6" xfId="60"/>
    <cellStyle name="Normal 6" xfId="19"/>
    <cellStyle name="Normal 6 2" xfId="42"/>
    <cellStyle name="Normal 6 2 2" xfId="124"/>
    <cellStyle name="Normal 6 2 3" xfId="156"/>
    <cellStyle name="Normal 6 2 4" xfId="95"/>
    <cellStyle name="Normal 6 3" xfId="78"/>
    <cellStyle name="Normal 6 4" xfId="111"/>
    <cellStyle name="Normal 6 5" xfId="143"/>
    <cellStyle name="Normal 6 6" xfId="62"/>
    <cellStyle name="Normal 7" xfId="21"/>
    <cellStyle name="Normal 7 2" xfId="43"/>
    <cellStyle name="Normal 7 2 2" xfId="125"/>
    <cellStyle name="Normal 7 2 3" xfId="157"/>
    <cellStyle name="Normal 7 2 4" xfId="97"/>
    <cellStyle name="Normal 7 3" xfId="33"/>
    <cellStyle name="Normal 7 3 2" xfId="116"/>
    <cellStyle name="Normal 7 3 3" xfId="148"/>
    <cellStyle name="Normal 7 3 4" xfId="100"/>
    <cellStyle name="Normal 7 4" xfId="80"/>
    <cellStyle name="Normal 7 5" xfId="113"/>
    <cellStyle name="Normal 7 6" xfId="145"/>
    <cellStyle name="Normal 7 7" xfId="64"/>
    <cellStyle name="Normal 8" xfId="22"/>
    <cellStyle name="Normal 9" xfId="25"/>
    <cellStyle name="Normal 9 2" xfId="44"/>
    <cellStyle name="Normal 9 2 2" xfId="126"/>
    <cellStyle name="Normal 9 2 3" xfId="158"/>
    <cellStyle name="Normal 9 2 4" xfId="98"/>
    <cellStyle name="Normal 9 3" xfId="81"/>
    <cellStyle name="Normal 9 4" xfId="114"/>
    <cellStyle name="Normal 9 5" xfId="146"/>
    <cellStyle name="Normal 9 6" xfId="65"/>
    <cellStyle name="Porcentagem" xfId="2" builtinId="5"/>
    <cellStyle name="Porcentagem 2" xfId="8"/>
    <cellStyle name="Porcentagem 2 2" xfId="13"/>
    <cellStyle name="Porcentagem 2 3" xfId="45"/>
    <cellStyle name="Porcentagem 2 3 2" xfId="127"/>
    <cellStyle name="Porcentagem 2 3 3" xfId="159"/>
    <cellStyle name="Porcentagem 2 3 4" xfId="89"/>
    <cellStyle name="Porcentagem 2 4" xfId="72"/>
    <cellStyle name="Porcentagem 2 5" xfId="105"/>
    <cellStyle name="Porcentagem 2 6" xfId="137"/>
    <cellStyle name="Porcentagem 2 7" xfId="56"/>
    <cellStyle name="Porcentagem 3" xfId="16"/>
    <cellStyle name="Porcentagem 4" xfId="24"/>
    <cellStyle name="Separador de milhares 2" xfId="5"/>
    <cellStyle name="Separador de milhares 2 2" xfId="46"/>
    <cellStyle name="Separador de milhares 2 2 2" xfId="128"/>
    <cellStyle name="Separador de milhares 2 2 3" xfId="160"/>
    <cellStyle name="Separador de milhares 2 2 4" xfId="86"/>
    <cellStyle name="Separador de milhares 2 3" xfId="69"/>
    <cellStyle name="Separador de milhares 2 4" xfId="102"/>
    <cellStyle name="Separador de milhares 2 5" xfId="134"/>
    <cellStyle name="Separador de milhares 2 6" xfId="53"/>
    <cellStyle name="Separador de milhares 3" xfId="7"/>
    <cellStyle name="Separador de milhares 3 2" xfId="47"/>
    <cellStyle name="Separador de milhares 3 2 2" xfId="129"/>
    <cellStyle name="Separador de milhares 3 2 3" xfId="161"/>
    <cellStyle name="Separador de milhares 3 2 4" xfId="88"/>
    <cellStyle name="Separador de milhares 3 3" xfId="71"/>
    <cellStyle name="Separador de milhares 3 4" xfId="104"/>
    <cellStyle name="Separador de milhares 3 5" xfId="136"/>
    <cellStyle name="Separador de milhares 3 6" xfId="55"/>
    <cellStyle name="Separador de milhares 4" xfId="10"/>
    <cellStyle name="Separador de milhares 4 2" xfId="3"/>
    <cellStyle name="Separador de milhares 4 2 2" xfId="48"/>
    <cellStyle name="Separador de milhares 4 2 3" xfId="67"/>
    <cellStyle name="Separador de milhares 4 3" xfId="49"/>
    <cellStyle name="Separador de milhares 4 3 2" xfId="130"/>
    <cellStyle name="Separador de milhares 4 3 3" xfId="162"/>
    <cellStyle name="Separador de milhares 4 3 4" xfId="91"/>
    <cellStyle name="Separador de milhares 4 4" xfId="74"/>
    <cellStyle name="Separador de milhares 4 5" xfId="107"/>
    <cellStyle name="Separador de milhares 4 6" xfId="139"/>
    <cellStyle name="Separador de milhares 4 7" xfId="58"/>
    <cellStyle name="Separador de milhares 5" xfId="18"/>
    <cellStyle name="Separador de milhares 5 2" xfId="50"/>
    <cellStyle name="Separador de milhares 5 2 2" xfId="131"/>
    <cellStyle name="Separador de milhares 5 2 3" xfId="163"/>
    <cellStyle name="Separador de milhares 5 2 4" xfId="94"/>
    <cellStyle name="Separador de milhares 5 3" xfId="77"/>
    <cellStyle name="Separador de milhares 5 4" xfId="110"/>
    <cellStyle name="Separador de milhares 5 5" xfId="142"/>
    <cellStyle name="Separador de milhares 5 6" xfId="61"/>
    <cellStyle name="Separador de milhares 6" xfId="20"/>
    <cellStyle name="Separador de milhares 6 2" xfId="51"/>
    <cellStyle name="Separador de milhares 6 2 2" xfId="132"/>
    <cellStyle name="Separador de milhares 6 2 3" xfId="164"/>
    <cellStyle name="Separador de milhares 6 2 4" xfId="96"/>
    <cellStyle name="Separador de milhares 6 3" xfId="79"/>
    <cellStyle name="Separador de milhares 6 4" xfId="112"/>
    <cellStyle name="Separador de milhares 6 5" xfId="144"/>
    <cellStyle name="Separador de milhares 6 6" xfId="63"/>
    <cellStyle name="Vírgula" xfId="1" builtinId="3"/>
    <cellStyle name="Vírgula 2" xfId="14"/>
    <cellStyle name="Vírgula 3" xfId="27"/>
    <cellStyle name="Vírgula 4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2</xdr:row>
          <xdr:rowOff>142875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0</xdr:row>
          <xdr:rowOff>0</xdr:rowOff>
        </xdr:from>
        <xdr:to>
          <xdr:col>1</xdr:col>
          <xdr:colOff>3181350</xdr:colOff>
          <xdr:row>3</xdr:row>
          <xdr:rowOff>66675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66057</xdr:colOff>
      <xdr:row>41</xdr:row>
      <xdr:rowOff>37265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42857" cy="6676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K33"/>
  <sheetViews>
    <sheetView tabSelected="1" view="pageBreakPreview" topLeftCell="A11" zoomScale="60" zoomScaleNormal="55" workbookViewId="0">
      <selection activeCell="I33" sqref="I3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6" width="9.140625" style="11"/>
    <col min="197" max="197" width="14.7109375" style="11" customWidth="1"/>
    <col min="198" max="198" width="40.7109375" style="11" customWidth="1"/>
    <col min="199" max="199" width="6.7109375" style="11" customWidth="1"/>
    <col min="200" max="202" width="12.7109375" style="11" customWidth="1"/>
    <col min="203" max="203" width="14.7109375" style="11" customWidth="1"/>
    <col min="204" max="205" width="15.7109375" style="11" customWidth="1"/>
    <col min="206" max="209" width="12.7109375" style="11" customWidth="1"/>
    <col min="210" max="452" width="9.140625" style="11"/>
    <col min="453" max="453" width="14.7109375" style="11" customWidth="1"/>
    <col min="454" max="454" width="40.7109375" style="11" customWidth="1"/>
    <col min="455" max="455" width="6.7109375" style="11" customWidth="1"/>
    <col min="456" max="458" width="12.7109375" style="11" customWidth="1"/>
    <col min="459" max="459" width="14.7109375" style="11" customWidth="1"/>
    <col min="460" max="461" width="15.7109375" style="11" customWidth="1"/>
    <col min="462" max="465" width="12.7109375" style="11" customWidth="1"/>
    <col min="466" max="708" width="9.140625" style="11"/>
    <col min="709" max="709" width="14.7109375" style="11" customWidth="1"/>
    <col min="710" max="710" width="40.7109375" style="11" customWidth="1"/>
    <col min="711" max="711" width="6.7109375" style="11" customWidth="1"/>
    <col min="712" max="714" width="12.7109375" style="11" customWidth="1"/>
    <col min="715" max="715" width="14.7109375" style="11" customWidth="1"/>
    <col min="716" max="717" width="15.7109375" style="11" customWidth="1"/>
    <col min="718" max="721" width="12.7109375" style="11" customWidth="1"/>
    <col min="722" max="964" width="9.140625" style="11"/>
    <col min="965" max="965" width="14.7109375" style="11" customWidth="1"/>
    <col min="966" max="966" width="40.7109375" style="11" customWidth="1"/>
    <col min="967" max="967" width="6.7109375" style="11" customWidth="1"/>
    <col min="968" max="970" width="12.7109375" style="11" customWidth="1"/>
    <col min="971" max="971" width="14.7109375" style="11" customWidth="1"/>
    <col min="972" max="973" width="15.7109375" style="11" customWidth="1"/>
    <col min="974" max="977" width="12.7109375" style="11" customWidth="1"/>
    <col min="978" max="1220" width="9.140625" style="11"/>
    <col min="1221" max="1221" width="14.7109375" style="11" customWidth="1"/>
    <col min="1222" max="1222" width="40.7109375" style="11" customWidth="1"/>
    <col min="1223" max="1223" width="6.7109375" style="11" customWidth="1"/>
    <col min="1224" max="1226" width="12.7109375" style="11" customWidth="1"/>
    <col min="1227" max="1227" width="14.7109375" style="11" customWidth="1"/>
    <col min="1228" max="1229" width="15.7109375" style="11" customWidth="1"/>
    <col min="1230" max="1233" width="12.7109375" style="11" customWidth="1"/>
    <col min="1234" max="1476" width="9.140625" style="11"/>
    <col min="1477" max="1477" width="14.7109375" style="11" customWidth="1"/>
    <col min="1478" max="1478" width="40.7109375" style="11" customWidth="1"/>
    <col min="1479" max="1479" width="6.7109375" style="11" customWidth="1"/>
    <col min="1480" max="1482" width="12.7109375" style="11" customWidth="1"/>
    <col min="1483" max="1483" width="14.7109375" style="11" customWidth="1"/>
    <col min="1484" max="1485" width="15.7109375" style="11" customWidth="1"/>
    <col min="1486" max="1489" width="12.7109375" style="11" customWidth="1"/>
    <col min="1490" max="1732" width="9.140625" style="11"/>
    <col min="1733" max="1733" width="14.7109375" style="11" customWidth="1"/>
    <col min="1734" max="1734" width="40.7109375" style="11" customWidth="1"/>
    <col min="1735" max="1735" width="6.7109375" style="11" customWidth="1"/>
    <col min="1736" max="1738" width="12.7109375" style="11" customWidth="1"/>
    <col min="1739" max="1739" width="14.7109375" style="11" customWidth="1"/>
    <col min="1740" max="1741" width="15.7109375" style="11" customWidth="1"/>
    <col min="1742" max="1745" width="12.7109375" style="11" customWidth="1"/>
    <col min="1746" max="1988" width="9.140625" style="11"/>
    <col min="1989" max="1989" width="14.7109375" style="11" customWidth="1"/>
    <col min="1990" max="1990" width="40.7109375" style="11" customWidth="1"/>
    <col min="1991" max="1991" width="6.7109375" style="11" customWidth="1"/>
    <col min="1992" max="1994" width="12.7109375" style="11" customWidth="1"/>
    <col min="1995" max="1995" width="14.7109375" style="11" customWidth="1"/>
    <col min="1996" max="1997" width="15.7109375" style="11" customWidth="1"/>
    <col min="1998" max="2001" width="12.7109375" style="11" customWidth="1"/>
    <col min="2002" max="2244" width="9.140625" style="11"/>
    <col min="2245" max="2245" width="14.7109375" style="11" customWidth="1"/>
    <col min="2246" max="2246" width="40.7109375" style="11" customWidth="1"/>
    <col min="2247" max="2247" width="6.7109375" style="11" customWidth="1"/>
    <col min="2248" max="2250" width="12.7109375" style="11" customWidth="1"/>
    <col min="2251" max="2251" width="14.7109375" style="11" customWidth="1"/>
    <col min="2252" max="2253" width="15.7109375" style="11" customWidth="1"/>
    <col min="2254" max="2257" width="12.7109375" style="11" customWidth="1"/>
    <col min="2258" max="2500" width="9.140625" style="11"/>
    <col min="2501" max="2501" width="14.7109375" style="11" customWidth="1"/>
    <col min="2502" max="2502" width="40.7109375" style="11" customWidth="1"/>
    <col min="2503" max="2503" width="6.7109375" style="11" customWidth="1"/>
    <col min="2504" max="2506" width="12.7109375" style="11" customWidth="1"/>
    <col min="2507" max="2507" width="14.7109375" style="11" customWidth="1"/>
    <col min="2508" max="2509" width="15.7109375" style="11" customWidth="1"/>
    <col min="2510" max="2513" width="12.7109375" style="11" customWidth="1"/>
    <col min="2514" max="2756" width="9.140625" style="11"/>
    <col min="2757" max="2757" width="14.7109375" style="11" customWidth="1"/>
    <col min="2758" max="2758" width="40.7109375" style="11" customWidth="1"/>
    <col min="2759" max="2759" width="6.7109375" style="11" customWidth="1"/>
    <col min="2760" max="2762" width="12.7109375" style="11" customWidth="1"/>
    <col min="2763" max="2763" width="14.7109375" style="11" customWidth="1"/>
    <col min="2764" max="2765" width="15.7109375" style="11" customWidth="1"/>
    <col min="2766" max="2769" width="12.7109375" style="11" customWidth="1"/>
    <col min="2770" max="3012" width="9.140625" style="11"/>
    <col min="3013" max="3013" width="14.7109375" style="11" customWidth="1"/>
    <col min="3014" max="3014" width="40.7109375" style="11" customWidth="1"/>
    <col min="3015" max="3015" width="6.7109375" style="11" customWidth="1"/>
    <col min="3016" max="3018" width="12.7109375" style="11" customWidth="1"/>
    <col min="3019" max="3019" width="14.7109375" style="11" customWidth="1"/>
    <col min="3020" max="3021" width="15.7109375" style="11" customWidth="1"/>
    <col min="3022" max="3025" width="12.7109375" style="11" customWidth="1"/>
    <col min="3026" max="3268" width="9.140625" style="11"/>
    <col min="3269" max="3269" width="14.7109375" style="11" customWidth="1"/>
    <col min="3270" max="3270" width="40.7109375" style="11" customWidth="1"/>
    <col min="3271" max="3271" width="6.7109375" style="11" customWidth="1"/>
    <col min="3272" max="3274" width="12.7109375" style="11" customWidth="1"/>
    <col min="3275" max="3275" width="14.7109375" style="11" customWidth="1"/>
    <col min="3276" max="3277" width="15.7109375" style="11" customWidth="1"/>
    <col min="3278" max="3281" width="12.7109375" style="11" customWidth="1"/>
    <col min="3282" max="3524" width="9.140625" style="11"/>
    <col min="3525" max="3525" width="14.7109375" style="11" customWidth="1"/>
    <col min="3526" max="3526" width="40.7109375" style="11" customWidth="1"/>
    <col min="3527" max="3527" width="6.7109375" style="11" customWidth="1"/>
    <col min="3528" max="3530" width="12.7109375" style="11" customWidth="1"/>
    <col min="3531" max="3531" width="14.7109375" style="11" customWidth="1"/>
    <col min="3532" max="3533" width="15.7109375" style="11" customWidth="1"/>
    <col min="3534" max="3537" width="12.7109375" style="11" customWidth="1"/>
    <col min="3538" max="3780" width="9.140625" style="11"/>
    <col min="3781" max="3781" width="14.7109375" style="11" customWidth="1"/>
    <col min="3782" max="3782" width="40.7109375" style="11" customWidth="1"/>
    <col min="3783" max="3783" width="6.7109375" style="11" customWidth="1"/>
    <col min="3784" max="3786" width="12.7109375" style="11" customWidth="1"/>
    <col min="3787" max="3787" width="14.7109375" style="11" customWidth="1"/>
    <col min="3788" max="3789" width="15.7109375" style="11" customWidth="1"/>
    <col min="3790" max="3793" width="12.7109375" style="11" customWidth="1"/>
    <col min="3794" max="4036" width="9.140625" style="11"/>
    <col min="4037" max="4037" width="14.7109375" style="11" customWidth="1"/>
    <col min="4038" max="4038" width="40.7109375" style="11" customWidth="1"/>
    <col min="4039" max="4039" width="6.7109375" style="11" customWidth="1"/>
    <col min="4040" max="4042" width="12.7109375" style="11" customWidth="1"/>
    <col min="4043" max="4043" width="14.7109375" style="11" customWidth="1"/>
    <col min="4044" max="4045" width="15.7109375" style="11" customWidth="1"/>
    <col min="4046" max="4049" width="12.7109375" style="11" customWidth="1"/>
    <col min="4050" max="4292" width="9.140625" style="11"/>
    <col min="4293" max="4293" width="14.7109375" style="11" customWidth="1"/>
    <col min="4294" max="4294" width="40.7109375" style="11" customWidth="1"/>
    <col min="4295" max="4295" width="6.7109375" style="11" customWidth="1"/>
    <col min="4296" max="4298" width="12.7109375" style="11" customWidth="1"/>
    <col min="4299" max="4299" width="14.7109375" style="11" customWidth="1"/>
    <col min="4300" max="4301" width="15.7109375" style="11" customWidth="1"/>
    <col min="4302" max="4305" width="12.7109375" style="11" customWidth="1"/>
    <col min="4306" max="4548" width="9.140625" style="11"/>
    <col min="4549" max="4549" width="14.7109375" style="11" customWidth="1"/>
    <col min="4550" max="4550" width="40.7109375" style="11" customWidth="1"/>
    <col min="4551" max="4551" width="6.7109375" style="11" customWidth="1"/>
    <col min="4552" max="4554" width="12.7109375" style="11" customWidth="1"/>
    <col min="4555" max="4555" width="14.7109375" style="11" customWidth="1"/>
    <col min="4556" max="4557" width="15.7109375" style="11" customWidth="1"/>
    <col min="4558" max="4561" width="12.7109375" style="11" customWidth="1"/>
    <col min="4562" max="4804" width="9.140625" style="11"/>
    <col min="4805" max="4805" width="14.7109375" style="11" customWidth="1"/>
    <col min="4806" max="4806" width="40.7109375" style="11" customWidth="1"/>
    <col min="4807" max="4807" width="6.7109375" style="11" customWidth="1"/>
    <col min="4808" max="4810" width="12.7109375" style="11" customWidth="1"/>
    <col min="4811" max="4811" width="14.7109375" style="11" customWidth="1"/>
    <col min="4812" max="4813" width="15.7109375" style="11" customWidth="1"/>
    <col min="4814" max="4817" width="12.7109375" style="11" customWidth="1"/>
    <col min="4818" max="5060" width="9.140625" style="11"/>
    <col min="5061" max="5061" width="14.7109375" style="11" customWidth="1"/>
    <col min="5062" max="5062" width="40.7109375" style="11" customWidth="1"/>
    <col min="5063" max="5063" width="6.7109375" style="11" customWidth="1"/>
    <col min="5064" max="5066" width="12.7109375" style="11" customWidth="1"/>
    <col min="5067" max="5067" width="14.7109375" style="11" customWidth="1"/>
    <col min="5068" max="5069" width="15.7109375" style="11" customWidth="1"/>
    <col min="5070" max="5073" width="12.7109375" style="11" customWidth="1"/>
    <col min="5074" max="5316" width="9.140625" style="11"/>
    <col min="5317" max="5317" width="14.7109375" style="11" customWidth="1"/>
    <col min="5318" max="5318" width="40.7109375" style="11" customWidth="1"/>
    <col min="5319" max="5319" width="6.7109375" style="11" customWidth="1"/>
    <col min="5320" max="5322" width="12.7109375" style="11" customWidth="1"/>
    <col min="5323" max="5323" width="14.7109375" style="11" customWidth="1"/>
    <col min="5324" max="5325" width="15.7109375" style="11" customWidth="1"/>
    <col min="5326" max="5329" width="12.7109375" style="11" customWidth="1"/>
    <col min="5330" max="5572" width="9.140625" style="11"/>
    <col min="5573" max="5573" width="14.7109375" style="11" customWidth="1"/>
    <col min="5574" max="5574" width="40.7109375" style="11" customWidth="1"/>
    <col min="5575" max="5575" width="6.7109375" style="11" customWidth="1"/>
    <col min="5576" max="5578" width="12.7109375" style="11" customWidth="1"/>
    <col min="5579" max="5579" width="14.7109375" style="11" customWidth="1"/>
    <col min="5580" max="5581" width="15.7109375" style="11" customWidth="1"/>
    <col min="5582" max="5585" width="12.7109375" style="11" customWidth="1"/>
    <col min="5586" max="5828" width="9.140625" style="11"/>
    <col min="5829" max="5829" width="14.7109375" style="11" customWidth="1"/>
    <col min="5830" max="5830" width="40.7109375" style="11" customWidth="1"/>
    <col min="5831" max="5831" width="6.7109375" style="11" customWidth="1"/>
    <col min="5832" max="5834" width="12.7109375" style="11" customWidth="1"/>
    <col min="5835" max="5835" width="14.7109375" style="11" customWidth="1"/>
    <col min="5836" max="5837" width="15.7109375" style="11" customWidth="1"/>
    <col min="5838" max="5841" width="12.7109375" style="11" customWidth="1"/>
    <col min="5842" max="6084" width="9.140625" style="11"/>
    <col min="6085" max="6085" width="14.7109375" style="11" customWidth="1"/>
    <col min="6086" max="6086" width="40.7109375" style="11" customWidth="1"/>
    <col min="6087" max="6087" width="6.7109375" style="11" customWidth="1"/>
    <col min="6088" max="6090" width="12.7109375" style="11" customWidth="1"/>
    <col min="6091" max="6091" width="14.7109375" style="11" customWidth="1"/>
    <col min="6092" max="6093" width="15.7109375" style="11" customWidth="1"/>
    <col min="6094" max="6097" width="12.7109375" style="11" customWidth="1"/>
    <col min="6098" max="6340" width="9.140625" style="11"/>
    <col min="6341" max="6341" width="14.7109375" style="11" customWidth="1"/>
    <col min="6342" max="6342" width="40.7109375" style="11" customWidth="1"/>
    <col min="6343" max="6343" width="6.7109375" style="11" customWidth="1"/>
    <col min="6344" max="6346" width="12.7109375" style="11" customWidth="1"/>
    <col min="6347" max="6347" width="14.7109375" style="11" customWidth="1"/>
    <col min="6348" max="6349" width="15.7109375" style="11" customWidth="1"/>
    <col min="6350" max="6353" width="12.7109375" style="11" customWidth="1"/>
    <col min="6354" max="6596" width="9.140625" style="11"/>
    <col min="6597" max="6597" width="14.7109375" style="11" customWidth="1"/>
    <col min="6598" max="6598" width="40.7109375" style="11" customWidth="1"/>
    <col min="6599" max="6599" width="6.7109375" style="11" customWidth="1"/>
    <col min="6600" max="6602" width="12.7109375" style="11" customWidth="1"/>
    <col min="6603" max="6603" width="14.7109375" style="11" customWidth="1"/>
    <col min="6604" max="6605" width="15.7109375" style="11" customWidth="1"/>
    <col min="6606" max="6609" width="12.7109375" style="11" customWidth="1"/>
    <col min="6610" max="6852" width="9.140625" style="11"/>
    <col min="6853" max="6853" width="14.7109375" style="11" customWidth="1"/>
    <col min="6854" max="6854" width="40.7109375" style="11" customWidth="1"/>
    <col min="6855" max="6855" width="6.7109375" style="11" customWidth="1"/>
    <col min="6856" max="6858" width="12.7109375" style="11" customWidth="1"/>
    <col min="6859" max="6859" width="14.7109375" style="11" customWidth="1"/>
    <col min="6860" max="6861" width="15.7109375" style="11" customWidth="1"/>
    <col min="6862" max="6865" width="12.7109375" style="11" customWidth="1"/>
    <col min="6866" max="7108" width="9.140625" style="11"/>
    <col min="7109" max="7109" width="14.7109375" style="11" customWidth="1"/>
    <col min="7110" max="7110" width="40.7109375" style="11" customWidth="1"/>
    <col min="7111" max="7111" width="6.7109375" style="11" customWidth="1"/>
    <col min="7112" max="7114" width="12.7109375" style="11" customWidth="1"/>
    <col min="7115" max="7115" width="14.7109375" style="11" customWidth="1"/>
    <col min="7116" max="7117" width="15.7109375" style="11" customWidth="1"/>
    <col min="7118" max="7121" width="12.7109375" style="11" customWidth="1"/>
    <col min="7122" max="7364" width="9.140625" style="11"/>
    <col min="7365" max="7365" width="14.7109375" style="11" customWidth="1"/>
    <col min="7366" max="7366" width="40.7109375" style="11" customWidth="1"/>
    <col min="7367" max="7367" width="6.7109375" style="11" customWidth="1"/>
    <col min="7368" max="7370" width="12.7109375" style="11" customWidth="1"/>
    <col min="7371" max="7371" width="14.7109375" style="11" customWidth="1"/>
    <col min="7372" max="7373" width="15.7109375" style="11" customWidth="1"/>
    <col min="7374" max="7377" width="12.7109375" style="11" customWidth="1"/>
    <col min="7378" max="7620" width="9.140625" style="11"/>
    <col min="7621" max="7621" width="14.7109375" style="11" customWidth="1"/>
    <col min="7622" max="7622" width="40.7109375" style="11" customWidth="1"/>
    <col min="7623" max="7623" width="6.7109375" style="11" customWidth="1"/>
    <col min="7624" max="7626" width="12.7109375" style="11" customWidth="1"/>
    <col min="7627" max="7627" width="14.7109375" style="11" customWidth="1"/>
    <col min="7628" max="7629" width="15.7109375" style="11" customWidth="1"/>
    <col min="7630" max="7633" width="12.7109375" style="11" customWidth="1"/>
    <col min="7634" max="7876" width="9.140625" style="11"/>
    <col min="7877" max="7877" width="14.7109375" style="11" customWidth="1"/>
    <col min="7878" max="7878" width="40.7109375" style="11" customWidth="1"/>
    <col min="7879" max="7879" width="6.7109375" style="11" customWidth="1"/>
    <col min="7880" max="7882" width="12.7109375" style="11" customWidth="1"/>
    <col min="7883" max="7883" width="14.7109375" style="11" customWidth="1"/>
    <col min="7884" max="7885" width="15.7109375" style="11" customWidth="1"/>
    <col min="7886" max="7889" width="12.7109375" style="11" customWidth="1"/>
    <col min="7890" max="8132" width="9.140625" style="11"/>
    <col min="8133" max="8133" width="14.7109375" style="11" customWidth="1"/>
    <col min="8134" max="8134" width="40.7109375" style="11" customWidth="1"/>
    <col min="8135" max="8135" width="6.7109375" style="11" customWidth="1"/>
    <col min="8136" max="8138" width="12.7109375" style="11" customWidth="1"/>
    <col min="8139" max="8139" width="14.7109375" style="11" customWidth="1"/>
    <col min="8140" max="8141" width="15.7109375" style="11" customWidth="1"/>
    <col min="8142" max="8145" width="12.7109375" style="11" customWidth="1"/>
    <col min="8146" max="8388" width="9.140625" style="11"/>
    <col min="8389" max="8389" width="14.7109375" style="11" customWidth="1"/>
    <col min="8390" max="8390" width="40.7109375" style="11" customWidth="1"/>
    <col min="8391" max="8391" width="6.7109375" style="11" customWidth="1"/>
    <col min="8392" max="8394" width="12.7109375" style="11" customWidth="1"/>
    <col min="8395" max="8395" width="14.7109375" style="11" customWidth="1"/>
    <col min="8396" max="8397" width="15.7109375" style="11" customWidth="1"/>
    <col min="8398" max="8401" width="12.7109375" style="11" customWidth="1"/>
    <col min="8402" max="8644" width="9.140625" style="11"/>
    <col min="8645" max="8645" width="14.7109375" style="11" customWidth="1"/>
    <col min="8646" max="8646" width="40.7109375" style="11" customWidth="1"/>
    <col min="8647" max="8647" width="6.7109375" style="11" customWidth="1"/>
    <col min="8648" max="8650" width="12.7109375" style="11" customWidth="1"/>
    <col min="8651" max="8651" width="14.7109375" style="11" customWidth="1"/>
    <col min="8652" max="8653" width="15.7109375" style="11" customWidth="1"/>
    <col min="8654" max="8657" width="12.7109375" style="11" customWidth="1"/>
    <col min="8658" max="8900" width="9.140625" style="11"/>
    <col min="8901" max="8901" width="14.7109375" style="11" customWidth="1"/>
    <col min="8902" max="8902" width="40.7109375" style="11" customWidth="1"/>
    <col min="8903" max="8903" width="6.7109375" style="11" customWidth="1"/>
    <col min="8904" max="8906" width="12.7109375" style="11" customWidth="1"/>
    <col min="8907" max="8907" width="14.7109375" style="11" customWidth="1"/>
    <col min="8908" max="8909" width="15.7109375" style="11" customWidth="1"/>
    <col min="8910" max="8913" width="12.7109375" style="11" customWidth="1"/>
    <col min="8914" max="9156" width="9.140625" style="11"/>
    <col min="9157" max="9157" width="14.7109375" style="11" customWidth="1"/>
    <col min="9158" max="9158" width="40.7109375" style="11" customWidth="1"/>
    <col min="9159" max="9159" width="6.7109375" style="11" customWidth="1"/>
    <col min="9160" max="9162" width="12.7109375" style="11" customWidth="1"/>
    <col min="9163" max="9163" width="14.7109375" style="11" customWidth="1"/>
    <col min="9164" max="9165" width="15.7109375" style="11" customWidth="1"/>
    <col min="9166" max="9169" width="12.7109375" style="11" customWidth="1"/>
    <col min="9170" max="9412" width="9.140625" style="11"/>
    <col min="9413" max="9413" width="14.7109375" style="11" customWidth="1"/>
    <col min="9414" max="9414" width="40.7109375" style="11" customWidth="1"/>
    <col min="9415" max="9415" width="6.7109375" style="11" customWidth="1"/>
    <col min="9416" max="9418" width="12.7109375" style="11" customWidth="1"/>
    <col min="9419" max="9419" width="14.7109375" style="11" customWidth="1"/>
    <col min="9420" max="9421" width="15.7109375" style="11" customWidth="1"/>
    <col min="9422" max="9425" width="12.7109375" style="11" customWidth="1"/>
    <col min="9426" max="9668" width="9.140625" style="11"/>
    <col min="9669" max="9669" width="14.7109375" style="11" customWidth="1"/>
    <col min="9670" max="9670" width="40.7109375" style="11" customWidth="1"/>
    <col min="9671" max="9671" width="6.7109375" style="11" customWidth="1"/>
    <col min="9672" max="9674" width="12.7109375" style="11" customWidth="1"/>
    <col min="9675" max="9675" width="14.7109375" style="11" customWidth="1"/>
    <col min="9676" max="9677" width="15.7109375" style="11" customWidth="1"/>
    <col min="9678" max="9681" width="12.7109375" style="11" customWidth="1"/>
    <col min="9682" max="9924" width="9.140625" style="11"/>
    <col min="9925" max="9925" width="14.7109375" style="11" customWidth="1"/>
    <col min="9926" max="9926" width="40.7109375" style="11" customWidth="1"/>
    <col min="9927" max="9927" width="6.7109375" style="11" customWidth="1"/>
    <col min="9928" max="9930" width="12.7109375" style="11" customWidth="1"/>
    <col min="9931" max="9931" width="14.7109375" style="11" customWidth="1"/>
    <col min="9932" max="9933" width="15.7109375" style="11" customWidth="1"/>
    <col min="9934" max="9937" width="12.7109375" style="11" customWidth="1"/>
    <col min="9938" max="10180" width="9.140625" style="11"/>
    <col min="10181" max="10181" width="14.7109375" style="11" customWidth="1"/>
    <col min="10182" max="10182" width="40.7109375" style="11" customWidth="1"/>
    <col min="10183" max="10183" width="6.7109375" style="11" customWidth="1"/>
    <col min="10184" max="10186" width="12.7109375" style="11" customWidth="1"/>
    <col min="10187" max="10187" width="14.7109375" style="11" customWidth="1"/>
    <col min="10188" max="10189" width="15.7109375" style="11" customWidth="1"/>
    <col min="10190" max="10193" width="12.7109375" style="11" customWidth="1"/>
    <col min="10194" max="10436" width="9.140625" style="11"/>
    <col min="10437" max="10437" width="14.7109375" style="11" customWidth="1"/>
    <col min="10438" max="10438" width="40.7109375" style="11" customWidth="1"/>
    <col min="10439" max="10439" width="6.7109375" style="11" customWidth="1"/>
    <col min="10440" max="10442" width="12.7109375" style="11" customWidth="1"/>
    <col min="10443" max="10443" width="14.7109375" style="11" customWidth="1"/>
    <col min="10444" max="10445" width="15.7109375" style="11" customWidth="1"/>
    <col min="10446" max="10449" width="12.7109375" style="11" customWidth="1"/>
    <col min="10450" max="10692" width="9.140625" style="11"/>
    <col min="10693" max="10693" width="14.7109375" style="11" customWidth="1"/>
    <col min="10694" max="10694" width="40.7109375" style="11" customWidth="1"/>
    <col min="10695" max="10695" width="6.7109375" style="11" customWidth="1"/>
    <col min="10696" max="10698" width="12.7109375" style="11" customWidth="1"/>
    <col min="10699" max="10699" width="14.7109375" style="11" customWidth="1"/>
    <col min="10700" max="10701" width="15.7109375" style="11" customWidth="1"/>
    <col min="10702" max="10705" width="12.7109375" style="11" customWidth="1"/>
    <col min="10706" max="10948" width="9.140625" style="11"/>
    <col min="10949" max="10949" width="14.7109375" style="11" customWidth="1"/>
    <col min="10950" max="10950" width="40.7109375" style="11" customWidth="1"/>
    <col min="10951" max="10951" width="6.7109375" style="11" customWidth="1"/>
    <col min="10952" max="10954" width="12.7109375" style="11" customWidth="1"/>
    <col min="10955" max="10955" width="14.7109375" style="11" customWidth="1"/>
    <col min="10956" max="10957" width="15.7109375" style="11" customWidth="1"/>
    <col min="10958" max="10961" width="12.7109375" style="11" customWidth="1"/>
    <col min="10962" max="11204" width="9.140625" style="11"/>
    <col min="11205" max="11205" width="14.7109375" style="11" customWidth="1"/>
    <col min="11206" max="11206" width="40.7109375" style="11" customWidth="1"/>
    <col min="11207" max="11207" width="6.7109375" style="11" customWidth="1"/>
    <col min="11208" max="11210" width="12.7109375" style="11" customWidth="1"/>
    <col min="11211" max="11211" width="14.7109375" style="11" customWidth="1"/>
    <col min="11212" max="11213" width="15.7109375" style="11" customWidth="1"/>
    <col min="11214" max="11217" width="12.7109375" style="11" customWidth="1"/>
    <col min="11218" max="11460" width="9.140625" style="11"/>
    <col min="11461" max="11461" width="14.7109375" style="11" customWidth="1"/>
    <col min="11462" max="11462" width="40.7109375" style="11" customWidth="1"/>
    <col min="11463" max="11463" width="6.7109375" style="11" customWidth="1"/>
    <col min="11464" max="11466" width="12.7109375" style="11" customWidth="1"/>
    <col min="11467" max="11467" width="14.7109375" style="11" customWidth="1"/>
    <col min="11468" max="11469" width="15.7109375" style="11" customWidth="1"/>
    <col min="11470" max="11473" width="12.7109375" style="11" customWidth="1"/>
    <col min="11474" max="11716" width="9.140625" style="11"/>
    <col min="11717" max="11717" width="14.7109375" style="11" customWidth="1"/>
    <col min="11718" max="11718" width="40.7109375" style="11" customWidth="1"/>
    <col min="11719" max="11719" width="6.7109375" style="11" customWidth="1"/>
    <col min="11720" max="11722" width="12.7109375" style="11" customWidth="1"/>
    <col min="11723" max="11723" width="14.7109375" style="11" customWidth="1"/>
    <col min="11724" max="11725" width="15.7109375" style="11" customWidth="1"/>
    <col min="11726" max="11729" width="12.7109375" style="11" customWidth="1"/>
    <col min="11730" max="11972" width="9.140625" style="11"/>
    <col min="11973" max="11973" width="14.7109375" style="11" customWidth="1"/>
    <col min="11974" max="11974" width="40.7109375" style="11" customWidth="1"/>
    <col min="11975" max="11975" width="6.7109375" style="11" customWidth="1"/>
    <col min="11976" max="11978" width="12.7109375" style="11" customWidth="1"/>
    <col min="11979" max="11979" width="14.7109375" style="11" customWidth="1"/>
    <col min="11980" max="11981" width="15.7109375" style="11" customWidth="1"/>
    <col min="11982" max="11985" width="12.7109375" style="11" customWidth="1"/>
    <col min="11986" max="12228" width="9.140625" style="11"/>
    <col min="12229" max="12229" width="14.7109375" style="11" customWidth="1"/>
    <col min="12230" max="12230" width="40.7109375" style="11" customWidth="1"/>
    <col min="12231" max="12231" width="6.7109375" style="11" customWidth="1"/>
    <col min="12232" max="12234" width="12.7109375" style="11" customWidth="1"/>
    <col min="12235" max="12235" width="14.7109375" style="11" customWidth="1"/>
    <col min="12236" max="12237" width="15.7109375" style="11" customWidth="1"/>
    <col min="12238" max="12241" width="12.7109375" style="11" customWidth="1"/>
    <col min="12242" max="12484" width="9.140625" style="11"/>
    <col min="12485" max="12485" width="14.7109375" style="11" customWidth="1"/>
    <col min="12486" max="12486" width="40.7109375" style="11" customWidth="1"/>
    <col min="12487" max="12487" width="6.7109375" style="11" customWidth="1"/>
    <col min="12488" max="12490" width="12.7109375" style="11" customWidth="1"/>
    <col min="12491" max="12491" width="14.7109375" style="11" customWidth="1"/>
    <col min="12492" max="12493" width="15.7109375" style="11" customWidth="1"/>
    <col min="12494" max="12497" width="12.7109375" style="11" customWidth="1"/>
    <col min="12498" max="12740" width="9.140625" style="11"/>
    <col min="12741" max="12741" width="14.7109375" style="11" customWidth="1"/>
    <col min="12742" max="12742" width="40.7109375" style="11" customWidth="1"/>
    <col min="12743" max="12743" width="6.7109375" style="11" customWidth="1"/>
    <col min="12744" max="12746" width="12.7109375" style="11" customWidth="1"/>
    <col min="12747" max="12747" width="14.7109375" style="11" customWidth="1"/>
    <col min="12748" max="12749" width="15.7109375" style="11" customWidth="1"/>
    <col min="12750" max="12753" width="12.7109375" style="11" customWidth="1"/>
    <col min="12754" max="12996" width="9.140625" style="11"/>
    <col min="12997" max="12997" width="14.7109375" style="11" customWidth="1"/>
    <col min="12998" max="12998" width="40.7109375" style="11" customWidth="1"/>
    <col min="12999" max="12999" width="6.7109375" style="11" customWidth="1"/>
    <col min="13000" max="13002" width="12.7109375" style="11" customWidth="1"/>
    <col min="13003" max="13003" width="14.7109375" style="11" customWidth="1"/>
    <col min="13004" max="13005" width="15.7109375" style="11" customWidth="1"/>
    <col min="13006" max="13009" width="12.7109375" style="11" customWidth="1"/>
    <col min="13010" max="13252" width="9.140625" style="11"/>
    <col min="13253" max="13253" width="14.7109375" style="11" customWidth="1"/>
    <col min="13254" max="13254" width="40.7109375" style="11" customWidth="1"/>
    <col min="13255" max="13255" width="6.7109375" style="11" customWidth="1"/>
    <col min="13256" max="13258" width="12.7109375" style="11" customWidth="1"/>
    <col min="13259" max="13259" width="14.7109375" style="11" customWidth="1"/>
    <col min="13260" max="13261" width="15.7109375" style="11" customWidth="1"/>
    <col min="13262" max="13265" width="12.7109375" style="11" customWidth="1"/>
    <col min="13266" max="13508" width="9.140625" style="11"/>
    <col min="13509" max="13509" width="14.7109375" style="11" customWidth="1"/>
    <col min="13510" max="13510" width="40.7109375" style="11" customWidth="1"/>
    <col min="13511" max="13511" width="6.7109375" style="11" customWidth="1"/>
    <col min="13512" max="13514" width="12.7109375" style="11" customWidth="1"/>
    <col min="13515" max="13515" width="14.7109375" style="11" customWidth="1"/>
    <col min="13516" max="13517" width="15.7109375" style="11" customWidth="1"/>
    <col min="13518" max="13521" width="12.7109375" style="11" customWidth="1"/>
    <col min="13522" max="13764" width="9.140625" style="11"/>
    <col min="13765" max="13765" width="14.7109375" style="11" customWidth="1"/>
    <col min="13766" max="13766" width="40.7109375" style="11" customWidth="1"/>
    <col min="13767" max="13767" width="6.7109375" style="11" customWidth="1"/>
    <col min="13768" max="13770" width="12.7109375" style="11" customWidth="1"/>
    <col min="13771" max="13771" width="14.7109375" style="11" customWidth="1"/>
    <col min="13772" max="13773" width="15.7109375" style="11" customWidth="1"/>
    <col min="13774" max="13777" width="12.7109375" style="11" customWidth="1"/>
    <col min="13778" max="14020" width="9.140625" style="11"/>
    <col min="14021" max="14021" width="14.7109375" style="11" customWidth="1"/>
    <col min="14022" max="14022" width="40.7109375" style="11" customWidth="1"/>
    <col min="14023" max="14023" width="6.7109375" style="11" customWidth="1"/>
    <col min="14024" max="14026" width="12.7109375" style="11" customWidth="1"/>
    <col min="14027" max="14027" width="14.7109375" style="11" customWidth="1"/>
    <col min="14028" max="14029" width="15.7109375" style="11" customWidth="1"/>
    <col min="14030" max="14033" width="12.7109375" style="11" customWidth="1"/>
    <col min="14034" max="14276" width="9.140625" style="11"/>
    <col min="14277" max="14277" width="14.7109375" style="11" customWidth="1"/>
    <col min="14278" max="14278" width="40.7109375" style="11" customWidth="1"/>
    <col min="14279" max="14279" width="6.7109375" style="11" customWidth="1"/>
    <col min="14280" max="14282" width="12.7109375" style="11" customWidth="1"/>
    <col min="14283" max="14283" width="14.7109375" style="11" customWidth="1"/>
    <col min="14284" max="14285" width="15.7109375" style="11" customWidth="1"/>
    <col min="14286" max="14289" width="12.7109375" style="11" customWidth="1"/>
    <col min="14290" max="14532" width="9.140625" style="11"/>
    <col min="14533" max="14533" width="14.7109375" style="11" customWidth="1"/>
    <col min="14534" max="14534" width="40.7109375" style="11" customWidth="1"/>
    <col min="14535" max="14535" width="6.7109375" style="11" customWidth="1"/>
    <col min="14536" max="14538" width="12.7109375" style="11" customWidth="1"/>
    <col min="14539" max="14539" width="14.7109375" style="11" customWidth="1"/>
    <col min="14540" max="14541" width="15.7109375" style="11" customWidth="1"/>
    <col min="14542" max="14545" width="12.7109375" style="11" customWidth="1"/>
    <col min="14546" max="14788" width="9.140625" style="11"/>
    <col min="14789" max="14789" width="14.7109375" style="11" customWidth="1"/>
    <col min="14790" max="14790" width="40.7109375" style="11" customWidth="1"/>
    <col min="14791" max="14791" width="6.7109375" style="11" customWidth="1"/>
    <col min="14792" max="14794" width="12.7109375" style="11" customWidth="1"/>
    <col min="14795" max="14795" width="14.7109375" style="11" customWidth="1"/>
    <col min="14796" max="14797" width="15.7109375" style="11" customWidth="1"/>
    <col min="14798" max="14801" width="12.7109375" style="11" customWidth="1"/>
    <col min="14802" max="15044" width="9.140625" style="11"/>
    <col min="15045" max="15045" width="14.7109375" style="11" customWidth="1"/>
    <col min="15046" max="15046" width="40.7109375" style="11" customWidth="1"/>
    <col min="15047" max="15047" width="6.7109375" style="11" customWidth="1"/>
    <col min="15048" max="15050" width="12.7109375" style="11" customWidth="1"/>
    <col min="15051" max="15051" width="14.7109375" style="11" customWidth="1"/>
    <col min="15052" max="15053" width="15.7109375" style="11" customWidth="1"/>
    <col min="15054" max="15057" width="12.7109375" style="11" customWidth="1"/>
    <col min="15058" max="15300" width="9.140625" style="11"/>
    <col min="15301" max="15301" width="14.7109375" style="11" customWidth="1"/>
    <col min="15302" max="15302" width="40.7109375" style="11" customWidth="1"/>
    <col min="15303" max="15303" width="6.7109375" style="11" customWidth="1"/>
    <col min="15304" max="15306" width="12.7109375" style="11" customWidth="1"/>
    <col min="15307" max="15307" width="14.7109375" style="11" customWidth="1"/>
    <col min="15308" max="15309" width="15.7109375" style="11" customWidth="1"/>
    <col min="15310" max="15313" width="12.7109375" style="11" customWidth="1"/>
    <col min="15314" max="15556" width="9.140625" style="11"/>
    <col min="15557" max="15557" width="14.7109375" style="11" customWidth="1"/>
    <col min="15558" max="15558" width="40.7109375" style="11" customWidth="1"/>
    <col min="15559" max="15559" width="6.7109375" style="11" customWidth="1"/>
    <col min="15560" max="15562" width="12.7109375" style="11" customWidth="1"/>
    <col min="15563" max="15563" width="14.7109375" style="11" customWidth="1"/>
    <col min="15564" max="15565" width="15.7109375" style="11" customWidth="1"/>
    <col min="15566" max="15569" width="12.7109375" style="11" customWidth="1"/>
    <col min="15570" max="15812" width="9.140625" style="11"/>
    <col min="15813" max="15813" width="14.7109375" style="11" customWidth="1"/>
    <col min="15814" max="15814" width="40.7109375" style="11" customWidth="1"/>
    <col min="15815" max="15815" width="6.7109375" style="11" customWidth="1"/>
    <col min="15816" max="15818" width="12.7109375" style="11" customWidth="1"/>
    <col min="15819" max="15819" width="14.7109375" style="11" customWidth="1"/>
    <col min="15820" max="15821" width="15.7109375" style="11" customWidth="1"/>
    <col min="15822" max="15825" width="12.7109375" style="11" customWidth="1"/>
    <col min="15826" max="16068" width="9.140625" style="11"/>
    <col min="16069" max="16069" width="14.7109375" style="11" customWidth="1"/>
    <col min="16070" max="16070" width="40.7109375" style="11" customWidth="1"/>
    <col min="16071" max="16071" width="6.7109375" style="11" customWidth="1"/>
    <col min="16072" max="16074" width="12.7109375" style="11" customWidth="1"/>
    <col min="16075" max="16075" width="14.7109375" style="11" customWidth="1"/>
    <col min="16076" max="16077" width="15.7109375" style="11" customWidth="1"/>
    <col min="16078" max="16081" width="12.7109375" style="11" customWidth="1"/>
    <col min="16082" max="16384" width="9.140625" style="11"/>
  </cols>
  <sheetData>
    <row r="1" spans="1:11" s="2" customFormat="1" x14ac:dyDescent="0.2">
      <c r="A1" s="1"/>
      <c r="B1" s="161" t="s">
        <v>102</v>
      </c>
      <c r="C1" s="161"/>
      <c r="D1" s="161"/>
      <c r="E1" s="161"/>
      <c r="F1" s="161"/>
      <c r="G1" s="161"/>
      <c r="H1" s="161"/>
      <c r="I1" s="161"/>
      <c r="J1" s="161"/>
    </row>
    <row r="2" spans="1:11" s="2" customFormat="1" x14ac:dyDescent="0.2">
      <c r="A2" s="1"/>
      <c r="B2" s="161" t="s">
        <v>0</v>
      </c>
      <c r="C2" s="161"/>
      <c r="D2" s="161"/>
      <c r="E2" s="161"/>
      <c r="F2" s="161"/>
      <c r="G2" s="161"/>
      <c r="H2" s="161"/>
      <c r="I2" s="161"/>
      <c r="J2" s="161"/>
    </row>
    <row r="3" spans="1:11" s="2" customFormat="1" x14ac:dyDescent="0.2">
      <c r="A3" s="1"/>
      <c r="B3" s="162" t="s">
        <v>124</v>
      </c>
      <c r="C3" s="162"/>
      <c r="D3" s="162"/>
      <c r="E3" s="162"/>
      <c r="F3" s="162"/>
      <c r="G3" s="162"/>
      <c r="H3" s="162"/>
      <c r="I3" s="162"/>
      <c r="J3" s="162"/>
    </row>
    <row r="4" spans="1:11" s="2" customFormat="1" x14ac:dyDescent="0.2">
      <c r="A4" s="4"/>
      <c r="B4" s="166"/>
      <c r="C4" s="166"/>
      <c r="D4" s="166"/>
      <c r="E4" s="166"/>
      <c r="F4" s="167"/>
      <c r="G4" s="163" t="s">
        <v>66</v>
      </c>
      <c r="H4" s="164"/>
      <c r="I4" s="164"/>
      <c r="J4" s="165"/>
    </row>
    <row r="5" spans="1:11" s="2" customFormat="1" x14ac:dyDescent="0.2">
      <c r="A5" s="8"/>
      <c r="B5" s="168"/>
      <c r="C5" s="168"/>
      <c r="D5" s="168"/>
      <c r="E5" s="168"/>
      <c r="F5" s="169"/>
      <c r="G5" s="152" t="s">
        <v>1</v>
      </c>
      <c r="H5" s="153"/>
      <c r="I5" s="170" t="s">
        <v>130</v>
      </c>
      <c r="J5" s="171"/>
    </row>
    <row r="6" spans="1:11" s="2" customFormat="1" ht="16.5" x14ac:dyDescent="0.2">
      <c r="A6" s="122" t="s">
        <v>10</v>
      </c>
      <c r="B6" s="172" t="str">
        <f>"FORNECIMENTO, TRANSPORTE E INSTALAÇÃO DE MÓDULOS SANITÁRIOS COM TRATAMENTO POR DESIDRATAÇÃO - " &amp; A7</f>
        <v>FORNECIMENTO, TRANSPORTE E INSTALAÇÃO DE MÓDULOS SANITÁRIOS COM TRATAMENTO POR DESIDRATAÇÃO - PERNAMBUCO</v>
      </c>
      <c r="C6" s="172"/>
      <c r="D6" s="172"/>
      <c r="E6" s="172"/>
      <c r="F6" s="173"/>
      <c r="G6" s="152" t="s">
        <v>11</v>
      </c>
      <c r="H6" s="153"/>
      <c r="I6" s="148">
        <v>0.23499999999999999</v>
      </c>
      <c r="J6" s="149"/>
    </row>
    <row r="7" spans="1:11" s="2" customFormat="1" ht="17.25" x14ac:dyDescent="0.2">
      <c r="A7" s="123" t="s">
        <v>128</v>
      </c>
      <c r="B7" s="155"/>
      <c r="C7" s="155"/>
      <c r="D7" s="155"/>
      <c r="E7" s="155"/>
      <c r="F7" s="156"/>
      <c r="G7" s="152" t="s">
        <v>12</v>
      </c>
      <c r="H7" s="153"/>
      <c r="I7" s="148">
        <v>0.111</v>
      </c>
      <c r="J7" s="149"/>
    </row>
    <row r="8" spans="1:11" s="2" customFormat="1" ht="17.25" x14ac:dyDescent="0.2">
      <c r="A8" s="124"/>
      <c r="B8" s="157" t="s">
        <v>67</v>
      </c>
      <c r="C8" s="157"/>
      <c r="D8" s="157"/>
      <c r="E8" s="157"/>
      <c r="F8" s="158"/>
      <c r="G8" s="152" t="s">
        <v>49</v>
      </c>
      <c r="H8" s="153"/>
      <c r="I8" s="150">
        <v>480</v>
      </c>
      <c r="J8" s="151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5" t="s">
        <v>110</v>
      </c>
      <c r="H9" s="175"/>
      <c r="I9" s="174">
        <f>ROUND(J33,2)</f>
        <v>13720.41</v>
      </c>
      <c r="J9" s="174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7" t="s">
        <v>16</v>
      </c>
      <c r="C12" s="147"/>
      <c r="D12" s="147"/>
      <c r="E12" s="147"/>
      <c r="F12" s="147"/>
      <c r="G12" s="147"/>
      <c r="H12" s="147"/>
      <c r="I12" s="104">
        <f>ROUND(I16+I22+I14,2)</f>
        <v>892227.72</v>
      </c>
      <c r="J12" s="104">
        <f>ROUND(I12/$I$8,2)</f>
        <v>1858.81</v>
      </c>
    </row>
    <row r="13" spans="1:11" s="17" customFormat="1" ht="24.95" customHeight="1" x14ac:dyDescent="0.25">
      <c r="A13" s="105" t="s">
        <v>6</v>
      </c>
      <c r="B13" s="106" t="s">
        <v>74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72</v>
      </c>
      <c r="B14" s="107" t="s">
        <v>75</v>
      </c>
      <c r="C14" s="109" t="s">
        <v>69</v>
      </c>
      <c r="D14" s="110" t="s">
        <v>135</v>
      </c>
      <c r="E14" s="110" t="s">
        <v>76</v>
      </c>
      <c r="F14" s="110">
        <f>2.4*1.2*(I8/28)</f>
        <v>49.371428571428567</v>
      </c>
      <c r="G14" s="111">
        <f>COMPOSIÇÕES!H18</f>
        <v>372.77000000000004</v>
      </c>
      <c r="H14" s="112">
        <f t="shared" ref="H14" si="0">ROUND(G14+G14*$I$6,2)</f>
        <v>460.37</v>
      </c>
      <c r="I14" s="113">
        <f t="shared" ref="I14" si="1">ROUND(ROUND(F14,2)*ROUND(H14,2),2)</f>
        <v>22728.47</v>
      </c>
      <c r="J14" s="113">
        <f>ROUND(I14/$I$8,2)</f>
        <v>47.35</v>
      </c>
    </row>
    <row r="15" spans="1:11" s="40" customFormat="1" ht="24.95" customHeight="1" x14ac:dyDescent="0.25">
      <c r="A15" s="159" t="s">
        <v>17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70"/>
    </row>
    <row r="16" spans="1:11" s="17" customFormat="1" ht="24.95" customHeight="1" x14ac:dyDescent="0.25">
      <c r="A16" s="114" t="s">
        <v>7</v>
      </c>
      <c r="B16" s="147" t="s">
        <v>105</v>
      </c>
      <c r="C16" s="147"/>
      <c r="D16" s="147"/>
      <c r="E16" s="147"/>
      <c r="F16" s="147"/>
      <c r="G16" s="147"/>
      <c r="H16" s="147"/>
      <c r="I16" s="104">
        <f>ROUND(SUM(I17:I20),2)</f>
        <v>80590.45</v>
      </c>
      <c r="J16" s="104">
        <f>ROUND(I16/$I$8,2)</f>
        <v>167.9</v>
      </c>
    </row>
    <row r="17" spans="1:11" s="17" customFormat="1" ht="33" x14ac:dyDescent="0.25">
      <c r="A17" s="115" t="s">
        <v>13</v>
      </c>
      <c r="B17" s="116" t="s">
        <v>93</v>
      </c>
      <c r="C17" s="117" t="s">
        <v>70</v>
      </c>
      <c r="D17" s="118" t="s">
        <v>19</v>
      </c>
      <c r="E17" s="112">
        <v>119.19222916666666</v>
      </c>
      <c r="F17" s="112">
        <f>E17*$I$8</f>
        <v>57212.27</v>
      </c>
      <c r="G17" s="112">
        <f>G18</f>
        <v>0.94000000000000006</v>
      </c>
      <c r="H17" s="112">
        <f t="shared" ref="H17:H20" si="2">ROUND(G17+G17*$I$6,2)</f>
        <v>1.1599999999999999</v>
      </c>
      <c r="I17" s="112">
        <f>ROUND(ROUND(F17,2)*ROUND(H17,2),2)</f>
        <v>66366.23</v>
      </c>
      <c r="J17" s="112">
        <f>I17/$I$8</f>
        <v>138.26297916666667</v>
      </c>
    </row>
    <row r="18" spans="1:11" ht="33" x14ac:dyDescent="0.25">
      <c r="A18" s="115" t="s">
        <v>87</v>
      </c>
      <c r="B18" s="116" t="s">
        <v>100</v>
      </c>
      <c r="C18" s="117" t="s">
        <v>71</v>
      </c>
      <c r="D18" s="118" t="s">
        <v>19</v>
      </c>
      <c r="E18" s="112">
        <v>10.43</v>
      </c>
      <c r="F18" s="112">
        <f t="shared" ref="F18:F20" si="3">E18*$I$8</f>
        <v>5006.3999999999996</v>
      </c>
      <c r="G18" s="112">
        <f>COMPOSIÇÕES!H30</f>
        <v>0.94000000000000006</v>
      </c>
      <c r="H18" s="112">
        <f t="shared" si="2"/>
        <v>1.1599999999999999</v>
      </c>
      <c r="I18" s="112">
        <f>ROUND(ROUND(F18,2)*ROUND(H18,2),2)</f>
        <v>5807.42</v>
      </c>
      <c r="J18" s="112">
        <f>I18/$I$8</f>
        <v>12.098791666666667</v>
      </c>
      <c r="K18" s="16"/>
    </row>
    <row r="19" spans="1:11" ht="33" x14ac:dyDescent="0.25">
      <c r="A19" s="115" t="s">
        <v>88</v>
      </c>
      <c r="B19" s="116" t="s">
        <v>95</v>
      </c>
      <c r="C19" s="117" t="s">
        <v>90</v>
      </c>
      <c r="D19" s="118" t="s">
        <v>19</v>
      </c>
      <c r="E19" s="112">
        <v>1.5</v>
      </c>
      <c r="F19" s="112">
        <f t="shared" si="3"/>
        <v>720</v>
      </c>
      <c r="G19" s="112">
        <f>COMPOSIÇÕES!H35</f>
        <v>1.72</v>
      </c>
      <c r="H19" s="112">
        <f t="shared" si="2"/>
        <v>2.12</v>
      </c>
      <c r="I19" s="112">
        <f t="shared" ref="I19:I20" si="4">ROUND(ROUND(F19,2)*ROUND(H19,2),2)</f>
        <v>1526.4</v>
      </c>
      <c r="J19" s="112">
        <f t="shared" ref="J19:J20" si="5">I19/$I$8</f>
        <v>3.18</v>
      </c>
      <c r="K19" s="16"/>
    </row>
    <row r="20" spans="1:11" ht="33" x14ac:dyDescent="0.25">
      <c r="A20" s="115" t="s">
        <v>91</v>
      </c>
      <c r="B20" s="116" t="s">
        <v>96</v>
      </c>
      <c r="C20" s="117" t="s">
        <v>92</v>
      </c>
      <c r="D20" s="118" t="s">
        <v>19</v>
      </c>
      <c r="E20" s="112">
        <v>4.5</v>
      </c>
      <c r="F20" s="112">
        <f t="shared" si="3"/>
        <v>2160</v>
      </c>
      <c r="G20" s="112">
        <f>COMPOSIÇÕES!H40</f>
        <v>2.5799999999999996</v>
      </c>
      <c r="H20" s="112">
        <f t="shared" si="2"/>
        <v>3.19</v>
      </c>
      <c r="I20" s="112">
        <f t="shared" si="4"/>
        <v>6890.4</v>
      </c>
      <c r="J20" s="112">
        <f t="shared" si="5"/>
        <v>14.354999999999999</v>
      </c>
      <c r="K20" s="16"/>
    </row>
    <row r="21" spans="1:11" s="40" customFormat="1" ht="24.95" customHeight="1" x14ac:dyDescent="0.25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"/>
    </row>
    <row r="22" spans="1:11" s="17" customFormat="1" ht="24.95" customHeight="1" x14ac:dyDescent="0.25">
      <c r="A22" s="114" t="s">
        <v>29</v>
      </c>
      <c r="B22" s="147" t="s">
        <v>106</v>
      </c>
      <c r="C22" s="147"/>
      <c r="D22" s="147"/>
      <c r="E22" s="147"/>
      <c r="F22" s="147"/>
      <c r="G22" s="147"/>
      <c r="H22" s="147"/>
      <c r="I22" s="104">
        <f>ROUND(SUBTOTAL(9,I23:I23),2)</f>
        <v>788908.8</v>
      </c>
      <c r="J22" s="104">
        <f>ROUND(I22/$I$8,2)</f>
        <v>1643.56</v>
      </c>
    </row>
    <row r="23" spans="1:11" ht="42" customHeight="1" x14ac:dyDescent="0.25">
      <c r="A23" s="115" t="s">
        <v>89</v>
      </c>
      <c r="B23" s="116" t="s">
        <v>107</v>
      </c>
      <c r="C23" s="118" t="s">
        <v>50</v>
      </c>
      <c r="D23" s="118" t="s">
        <v>9</v>
      </c>
      <c r="E23" s="112">
        <v>1</v>
      </c>
      <c r="F23" s="112">
        <f>$I$8</f>
        <v>480</v>
      </c>
      <c r="G23" s="132" t="s">
        <v>76</v>
      </c>
      <c r="H23" s="132">
        <v>1643.5606121788787</v>
      </c>
      <c r="I23" s="112">
        <f t="shared" ref="I23" si="6">ROUND(ROUND(F23,2)*ROUND(H23,2),2)</f>
        <v>788908.8</v>
      </c>
      <c r="J23" s="112">
        <f>I23/$I$8</f>
        <v>1643.5600000000002</v>
      </c>
    </row>
    <row r="24" spans="1:11" ht="24.95" customHeight="1" x14ac:dyDescent="0.25">
      <c r="A24" s="154" t="s">
        <v>17</v>
      </c>
      <c r="B24" s="154"/>
      <c r="C24" s="154"/>
      <c r="D24" s="154"/>
      <c r="E24" s="154"/>
      <c r="F24" s="154"/>
      <c r="G24" s="154"/>
      <c r="H24" s="154"/>
      <c r="I24" s="154"/>
      <c r="J24" s="154"/>
    </row>
    <row r="25" spans="1:11" s="17" customFormat="1" ht="24.95" customHeight="1" x14ac:dyDescent="0.25">
      <c r="A25" s="119" t="s">
        <v>8</v>
      </c>
      <c r="B25" s="147" t="s">
        <v>68</v>
      </c>
      <c r="C25" s="147"/>
      <c r="D25" s="147"/>
      <c r="E25" s="147"/>
      <c r="F25" s="147"/>
      <c r="G25" s="147"/>
      <c r="H25" s="147"/>
      <c r="I25" s="104">
        <f>ROUND(SUM(I26:I27),2)</f>
        <v>5624352</v>
      </c>
      <c r="J25" s="104">
        <f>ROUND(I25/$I$8,2)</f>
        <v>11717.4</v>
      </c>
    </row>
    <row r="26" spans="1:11" ht="24.95" customHeight="1" x14ac:dyDescent="0.25">
      <c r="A26" s="129" t="s">
        <v>15</v>
      </c>
      <c r="B26" s="116" t="s">
        <v>104</v>
      </c>
      <c r="C26" s="118" t="s">
        <v>51</v>
      </c>
      <c r="D26" s="118" t="s">
        <v>9</v>
      </c>
      <c r="E26" s="112">
        <v>1</v>
      </c>
      <c r="F26" s="112">
        <f>$I$8</f>
        <v>480</v>
      </c>
      <c r="G26" s="132" t="s">
        <v>76</v>
      </c>
      <c r="H26" s="132">
        <v>11704.775215043475</v>
      </c>
      <c r="I26" s="112">
        <f>ROUND(ROUND(F26,2)*ROUND(H26,2),2)</f>
        <v>5618294.4000000004</v>
      </c>
      <c r="J26" s="112">
        <f>I26/$I$8</f>
        <v>11704.78</v>
      </c>
      <c r="K26" s="33"/>
    </row>
    <row r="27" spans="1:11" ht="24.95" customHeight="1" x14ac:dyDescent="0.25">
      <c r="A27" s="129" t="s">
        <v>111</v>
      </c>
      <c r="B27" s="116" t="s">
        <v>123</v>
      </c>
      <c r="C27" s="118" t="s">
        <v>137</v>
      </c>
      <c r="D27" s="118" t="s">
        <v>9</v>
      </c>
      <c r="E27" s="112">
        <v>1</v>
      </c>
      <c r="F27" s="112">
        <f>I8</f>
        <v>480</v>
      </c>
      <c r="G27" s="132">
        <f>COMPOSIÇÕES!H46</f>
        <v>11.36</v>
      </c>
      <c r="H27" s="112">
        <f>ROUND(G27+G27*$I$7,2)</f>
        <v>12.62</v>
      </c>
      <c r="I27" s="112">
        <f>ROUND(ROUND(F27,2)*ROUND(H27,2),2)</f>
        <v>6057.6</v>
      </c>
      <c r="J27" s="112">
        <f>I27/$I$8</f>
        <v>12.620000000000001</v>
      </c>
      <c r="K27" s="33"/>
    </row>
    <row r="28" spans="1:11" ht="24.95" customHeight="1" x14ac:dyDescent="0.25">
      <c r="A28" s="154"/>
      <c r="B28" s="154"/>
      <c r="C28" s="154"/>
      <c r="D28" s="154"/>
      <c r="E28" s="154"/>
      <c r="F28" s="154"/>
      <c r="G28" s="154"/>
      <c r="H28" s="154"/>
      <c r="I28" s="154"/>
      <c r="J28" s="154"/>
      <c r="K28" s="33"/>
    </row>
    <row r="29" spans="1:11" ht="24.95" customHeight="1" x14ac:dyDescent="0.25">
      <c r="A29" s="119" t="s">
        <v>53</v>
      </c>
      <c r="B29" s="147" t="s">
        <v>125</v>
      </c>
      <c r="C29" s="147"/>
      <c r="D29" s="147"/>
      <c r="E29" s="147"/>
      <c r="F29" s="147"/>
      <c r="G29" s="147"/>
      <c r="H29" s="147"/>
      <c r="I29" s="140">
        <f>SUM(I30:I31)</f>
        <v>69216.5</v>
      </c>
      <c r="J29" s="141">
        <f>ROUND(I29/$I$8,2)</f>
        <v>144.19999999999999</v>
      </c>
      <c r="K29" s="33"/>
    </row>
    <row r="30" spans="1:11" ht="24.95" customHeight="1" x14ac:dyDescent="0.25">
      <c r="A30" s="129" t="s">
        <v>126</v>
      </c>
      <c r="B30" s="116" t="s">
        <v>127</v>
      </c>
      <c r="C30" s="117" t="s">
        <v>113</v>
      </c>
      <c r="D30" s="118" t="s">
        <v>9</v>
      </c>
      <c r="E30" s="112">
        <v>1</v>
      </c>
      <c r="F30" s="112">
        <f>I8</f>
        <v>480</v>
      </c>
      <c r="G30" s="132">
        <f>COMPOSIÇÕES!H51</f>
        <v>7.93</v>
      </c>
      <c r="H30" s="112">
        <f>ROUND(G30+G30*$I$6,2)</f>
        <v>9.7899999999999991</v>
      </c>
      <c r="I30" s="112">
        <f>ROUND(ROUND(F30,2)*ROUND(H30,2),2)</f>
        <v>4699.2</v>
      </c>
      <c r="J30" s="112">
        <f>I30/$I$8</f>
        <v>9.7899999999999991</v>
      </c>
      <c r="K30" s="33"/>
    </row>
    <row r="31" spans="1:11" ht="24.95" customHeight="1" x14ac:dyDescent="0.25">
      <c r="A31" s="129" t="s">
        <v>132</v>
      </c>
      <c r="B31" s="116" t="s">
        <v>133</v>
      </c>
      <c r="C31" s="117">
        <v>94990</v>
      </c>
      <c r="D31" s="118" t="s">
        <v>134</v>
      </c>
      <c r="E31" s="112">
        <f>1.6*3*0.03</f>
        <v>0.14400000000000002</v>
      </c>
      <c r="F31" s="112">
        <f>E31*I8</f>
        <v>69.12</v>
      </c>
      <c r="G31" s="132">
        <v>755.8</v>
      </c>
      <c r="H31" s="112">
        <f>ROUND(G31+G31*$I$6,2)</f>
        <v>933.41</v>
      </c>
      <c r="I31" s="112">
        <f>ROUND(ROUND(F31,2)*ROUND(H31,2),2)</f>
        <v>64517.3</v>
      </c>
      <c r="J31" s="112">
        <f>I31/$I$8</f>
        <v>134.41104166666668</v>
      </c>
      <c r="K31" s="33"/>
    </row>
    <row r="32" spans="1:11" ht="24.95" customHeight="1" x14ac:dyDescent="0.25">
      <c r="A32" s="145"/>
      <c r="B32" s="145"/>
      <c r="C32" s="145"/>
      <c r="D32" s="145"/>
      <c r="E32" s="145"/>
      <c r="F32" s="145"/>
      <c r="G32" s="145"/>
      <c r="H32" s="145"/>
      <c r="I32" s="145"/>
      <c r="J32" s="145"/>
    </row>
    <row r="33" spans="1:10" s="18" customFormat="1" ht="24.95" customHeight="1" x14ac:dyDescent="0.25">
      <c r="A33" s="146" t="s">
        <v>25</v>
      </c>
      <c r="B33" s="146"/>
      <c r="C33" s="120"/>
      <c r="D33" s="120"/>
      <c r="E33" s="120"/>
      <c r="F33" s="120"/>
      <c r="G33" s="120"/>
      <c r="H33" s="120"/>
      <c r="I33" s="121">
        <f>I12+I25+I29</f>
        <v>6585796.2199999997</v>
      </c>
      <c r="J33" s="121">
        <f>I33/I8</f>
        <v>13720.408791666667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L90"/>
  <sheetViews>
    <sheetView view="pageBreakPreview" zoomScaleNormal="100" zoomScaleSheetLayoutView="100" workbookViewId="0">
      <pane ySplit="9" topLeftCell="A10" activePane="bottomLeft" state="frozen"/>
      <selection activeCell="B11" sqref="B11:H11"/>
      <selection pane="bottomLeft" activeCell="L47" sqref="L47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1" t="s">
        <v>102</v>
      </c>
      <c r="C1" s="161"/>
      <c r="D1" s="161"/>
      <c r="E1" s="161"/>
      <c r="F1" s="161"/>
      <c r="G1" s="161"/>
      <c r="H1" s="161"/>
    </row>
    <row r="2" spans="1:8" s="20" customFormat="1" x14ac:dyDescent="0.2">
      <c r="A2" s="1"/>
      <c r="B2" s="161" t="s">
        <v>0</v>
      </c>
      <c r="C2" s="161"/>
      <c r="D2" s="161"/>
      <c r="E2" s="161"/>
      <c r="F2" s="161"/>
      <c r="G2" s="161"/>
      <c r="H2" s="161"/>
    </row>
    <row r="3" spans="1:8" s="20" customFormat="1" x14ac:dyDescent="0.2">
      <c r="A3" s="1"/>
      <c r="B3" s="162" t="s">
        <v>124</v>
      </c>
      <c r="C3" s="162"/>
      <c r="D3" s="162"/>
      <c r="E3" s="162"/>
      <c r="F3" s="162"/>
      <c r="G3" s="162"/>
      <c r="H3" s="162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6" t="str">
        <f>ANALÍTICO!B6</f>
        <v>FORNECIMENTO, TRANSPORTE E INSTALAÇÃO DE MÓDULOS SANITÁRIOS COM TRATAMENTO POR DESIDRATAÇÃO - PERNAMBUCO</v>
      </c>
      <c r="C5" s="176"/>
      <c r="D5" s="176"/>
      <c r="E5" s="176"/>
      <c r="F5" s="176"/>
      <c r="G5" s="176"/>
      <c r="H5" s="176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72</v>
      </c>
      <c r="B10" s="61"/>
      <c r="C10" s="61" t="s">
        <v>69</v>
      </c>
      <c r="D10" s="61" t="s">
        <v>86</v>
      </c>
      <c r="E10" s="73" t="s">
        <v>77</v>
      </c>
      <c r="F10" s="74"/>
      <c r="G10" s="74"/>
      <c r="H10" s="74"/>
    </row>
    <row r="11" spans="1:8" ht="42.75" x14ac:dyDescent="0.25">
      <c r="A11" s="61"/>
      <c r="B11" s="62" t="s">
        <v>78</v>
      </c>
      <c r="C11" s="131">
        <v>4417</v>
      </c>
      <c r="D11" s="62" t="s">
        <v>64</v>
      </c>
      <c r="E11" s="75" t="s">
        <v>79</v>
      </c>
      <c r="F11" s="76">
        <v>1</v>
      </c>
      <c r="G11" s="76" t="s">
        <v>61</v>
      </c>
      <c r="H11" s="76">
        <f>ROUND(F11*G11,2)</f>
        <v>7.42</v>
      </c>
    </row>
    <row r="12" spans="1:8" ht="42.75" x14ac:dyDescent="0.25">
      <c r="A12" s="61"/>
      <c r="B12" s="62" t="s">
        <v>78</v>
      </c>
      <c r="C12" s="131">
        <v>4491</v>
      </c>
      <c r="D12" s="62" t="s">
        <v>59</v>
      </c>
      <c r="E12" s="75" t="s">
        <v>79</v>
      </c>
      <c r="F12" s="76">
        <v>4</v>
      </c>
      <c r="G12" s="76" t="s">
        <v>56</v>
      </c>
      <c r="H12" s="76">
        <f t="shared" ref="H12:H17" si="0">ROUND(F12*G12,2)</f>
        <v>41.4</v>
      </c>
    </row>
    <row r="13" spans="1:8" ht="57" x14ac:dyDescent="0.25">
      <c r="A13" s="61"/>
      <c r="B13" s="62" t="s">
        <v>78</v>
      </c>
      <c r="C13" s="131">
        <v>4813</v>
      </c>
      <c r="D13" s="62" t="s">
        <v>80</v>
      </c>
      <c r="E13" s="75" t="s">
        <v>77</v>
      </c>
      <c r="F13" s="76">
        <v>1</v>
      </c>
      <c r="G13" s="76" t="s">
        <v>101</v>
      </c>
      <c r="H13" s="76">
        <f t="shared" si="0"/>
        <v>250</v>
      </c>
    </row>
    <row r="14" spans="1:8" ht="28.5" x14ac:dyDescent="0.25">
      <c r="A14" s="61"/>
      <c r="B14" s="62" t="s">
        <v>78</v>
      </c>
      <c r="C14" s="131">
        <v>5075</v>
      </c>
      <c r="D14" s="62" t="s">
        <v>58</v>
      </c>
      <c r="E14" s="75" t="s">
        <v>81</v>
      </c>
      <c r="F14" s="76">
        <v>0.11</v>
      </c>
      <c r="G14" s="76" t="s">
        <v>60</v>
      </c>
      <c r="H14" s="76">
        <f t="shared" si="0"/>
        <v>1.73</v>
      </c>
    </row>
    <row r="15" spans="1:8" ht="28.5" x14ac:dyDescent="0.25">
      <c r="A15" s="61"/>
      <c r="B15" s="62" t="s">
        <v>47</v>
      </c>
      <c r="C15" s="131">
        <v>88262</v>
      </c>
      <c r="D15" s="62" t="s">
        <v>82</v>
      </c>
      <c r="E15" s="75" t="s">
        <v>14</v>
      </c>
      <c r="F15" s="76">
        <v>1</v>
      </c>
      <c r="G15" s="76">
        <v>26.12</v>
      </c>
      <c r="H15" s="76">
        <f t="shared" si="0"/>
        <v>26.12</v>
      </c>
    </row>
    <row r="16" spans="1:8" ht="28.5" x14ac:dyDescent="0.25">
      <c r="A16" s="61"/>
      <c r="B16" s="62" t="s">
        <v>47</v>
      </c>
      <c r="C16" s="131">
        <v>88316</v>
      </c>
      <c r="D16" s="62" t="s">
        <v>83</v>
      </c>
      <c r="E16" s="75" t="s">
        <v>14</v>
      </c>
      <c r="F16" s="76">
        <v>2</v>
      </c>
      <c r="G16" s="76">
        <v>21.05</v>
      </c>
      <c r="H16" s="76">
        <f t="shared" si="0"/>
        <v>42.1</v>
      </c>
    </row>
    <row r="17" spans="1:8" ht="57" x14ac:dyDescent="0.25">
      <c r="A17" s="61"/>
      <c r="B17" s="62" t="s">
        <v>47</v>
      </c>
      <c r="C17" s="131">
        <v>94962</v>
      </c>
      <c r="D17" s="62" t="s">
        <v>84</v>
      </c>
      <c r="E17" s="75" t="s">
        <v>85</v>
      </c>
      <c r="F17" s="76">
        <v>0.01</v>
      </c>
      <c r="G17" s="76">
        <v>399.58</v>
      </c>
      <c r="H17" s="76">
        <f t="shared" si="0"/>
        <v>4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372.77000000000004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70</v>
      </c>
      <c r="D20" s="82" t="s">
        <v>94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65</v>
      </c>
      <c r="C21" s="87" t="s">
        <v>117</v>
      </c>
      <c r="D21" s="130" t="s">
        <v>119</v>
      </c>
      <c r="E21" s="88" t="s">
        <v>26</v>
      </c>
      <c r="F21" s="83">
        <v>1.9124115509657679E-3</v>
      </c>
      <c r="G21" s="84">
        <v>406.3381</v>
      </c>
      <c r="H21" s="84">
        <f>ROUND(F21*G21,2)</f>
        <v>0.78</v>
      </c>
    </row>
    <row r="22" spans="1:8" x14ac:dyDescent="0.25">
      <c r="A22" s="85"/>
      <c r="B22" s="86" t="s">
        <v>65</v>
      </c>
      <c r="C22" s="87" t="s">
        <v>118</v>
      </c>
      <c r="D22" s="130" t="s">
        <v>120</v>
      </c>
      <c r="E22" s="88" t="s">
        <v>26</v>
      </c>
      <c r="F22" s="83">
        <v>1.9124115509657679E-3</v>
      </c>
      <c r="G22" s="84">
        <v>64.976799999999997</v>
      </c>
      <c r="H22" s="84">
        <f>ROUND(F22*G22,2)</f>
        <v>0.12</v>
      </c>
    </row>
    <row r="23" spans="1:8" ht="28.5" x14ac:dyDescent="0.25">
      <c r="A23" s="85"/>
      <c r="B23" s="90" t="s">
        <v>47</v>
      </c>
      <c r="C23" s="91">
        <v>88316</v>
      </c>
      <c r="D23" s="92" t="s">
        <v>83</v>
      </c>
      <c r="E23" s="93" t="s">
        <v>14</v>
      </c>
      <c r="F23" s="83">
        <v>1.9124115509657679E-3</v>
      </c>
      <c r="G23" s="89">
        <v>21.05</v>
      </c>
      <c r="H23" s="84">
        <f>ROUND(F23*G23,2)</f>
        <v>0.04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0.94000000000000006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87</v>
      </c>
      <c r="B26" s="80"/>
      <c r="C26" s="81" t="s">
        <v>71</v>
      </c>
      <c r="D26" s="82" t="s">
        <v>99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65</v>
      </c>
      <c r="C27" s="87" t="s">
        <v>117</v>
      </c>
      <c r="D27" s="130" t="s">
        <v>119</v>
      </c>
      <c r="E27" s="88" t="s">
        <v>26</v>
      </c>
      <c r="F27" s="83">
        <v>1.9124115509657679E-3</v>
      </c>
      <c r="G27" s="84">
        <v>406.3381</v>
      </c>
      <c r="H27" s="84">
        <f>ROUND(F27*G27,2)</f>
        <v>0.78</v>
      </c>
    </row>
    <row r="28" spans="1:8" x14ac:dyDescent="0.25">
      <c r="A28" s="85"/>
      <c r="B28" s="86" t="s">
        <v>65</v>
      </c>
      <c r="C28" s="87" t="s">
        <v>118</v>
      </c>
      <c r="D28" s="130" t="s">
        <v>120</v>
      </c>
      <c r="E28" s="88" t="s">
        <v>26</v>
      </c>
      <c r="F28" s="83">
        <v>1.9124115509657679E-3</v>
      </c>
      <c r="G28" s="84">
        <v>64.976799999999997</v>
      </c>
      <c r="H28" s="84">
        <f>ROUND(F28*G28,2)</f>
        <v>0.12</v>
      </c>
    </row>
    <row r="29" spans="1:8" ht="28.5" x14ac:dyDescent="0.25">
      <c r="A29" s="85"/>
      <c r="B29" s="90" t="s">
        <v>47</v>
      </c>
      <c r="C29" s="91">
        <v>88316</v>
      </c>
      <c r="D29" s="92" t="s">
        <v>83</v>
      </c>
      <c r="E29" s="93" t="s">
        <v>14</v>
      </c>
      <c r="F29" s="83">
        <v>1.9124115509657679E-3</v>
      </c>
      <c r="G29" s="89">
        <v>21.05</v>
      </c>
      <c r="H29" s="84">
        <f>ROUND(F29*G29,2)</f>
        <v>0.04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0.94000000000000006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88</v>
      </c>
      <c r="B32" s="80"/>
      <c r="C32" s="81" t="s">
        <v>90</v>
      </c>
      <c r="D32" s="82" t="s">
        <v>97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65</v>
      </c>
      <c r="C33" s="133" t="s">
        <v>131</v>
      </c>
      <c r="D33" s="134" t="s">
        <v>121</v>
      </c>
      <c r="E33" s="88" t="s">
        <v>26</v>
      </c>
      <c r="F33" s="98">
        <v>1.0040160642570281E-2</v>
      </c>
      <c r="G33" s="84">
        <v>150.3159</v>
      </c>
      <c r="H33" s="84">
        <f t="shared" ref="H33:H34" si="1">ROUND(F33*G33,2)</f>
        <v>1.51</v>
      </c>
    </row>
    <row r="34" spans="1:10" ht="28.5" x14ac:dyDescent="0.25">
      <c r="A34" s="85"/>
      <c r="B34" s="90" t="s">
        <v>47</v>
      </c>
      <c r="C34" s="91">
        <v>88316</v>
      </c>
      <c r="D34" s="92" t="s">
        <v>83</v>
      </c>
      <c r="E34" s="93" t="s">
        <v>14</v>
      </c>
      <c r="F34" s="98">
        <v>1.0040160642570281E-2</v>
      </c>
      <c r="G34" s="84">
        <v>21.05</v>
      </c>
      <c r="H34" s="84">
        <f t="shared" si="1"/>
        <v>0.21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1.72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91</v>
      </c>
      <c r="B37" s="80"/>
      <c r="C37" s="81" t="s">
        <v>92</v>
      </c>
      <c r="D37" s="82" t="s">
        <v>98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65</v>
      </c>
      <c r="C38" s="133" t="s">
        <v>131</v>
      </c>
      <c r="D38" s="134" t="s">
        <v>121</v>
      </c>
      <c r="E38" s="88" t="s">
        <v>26</v>
      </c>
      <c r="F38" s="83">
        <v>1.5060240963855423E-2</v>
      </c>
      <c r="G38" s="84">
        <v>150.3159</v>
      </c>
      <c r="H38" s="84">
        <f t="shared" ref="H38:H39" si="2">ROUND(F38*G38,2)</f>
        <v>2.2599999999999998</v>
      </c>
    </row>
    <row r="39" spans="1:10" ht="28.5" x14ac:dyDescent="0.25">
      <c r="A39" s="85"/>
      <c r="B39" s="90" t="s">
        <v>47</v>
      </c>
      <c r="C39" s="91">
        <v>88316</v>
      </c>
      <c r="D39" s="92" t="s">
        <v>83</v>
      </c>
      <c r="E39" s="93" t="s">
        <v>14</v>
      </c>
      <c r="F39" s="83">
        <v>1.5060240963855423E-2</v>
      </c>
      <c r="G39" s="84">
        <v>21.05</v>
      </c>
      <c r="H39" s="84">
        <f t="shared" si="2"/>
        <v>0.32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2.5799999999999996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111</v>
      </c>
      <c r="B42" s="90"/>
      <c r="C42" s="81" t="s">
        <v>112</v>
      </c>
      <c r="D42" s="127" t="s">
        <v>122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112</v>
      </c>
      <c r="C43" s="91"/>
      <c r="D43" s="92" t="s">
        <v>114</v>
      </c>
      <c r="E43" s="93" t="s">
        <v>9</v>
      </c>
      <c r="F43" s="83">
        <v>4</v>
      </c>
      <c r="G43" s="142">
        <v>0.75</v>
      </c>
      <c r="H43" s="84">
        <f>ROUND(F43*G43,2)</f>
        <v>3</v>
      </c>
      <c r="J43" s="128"/>
    </row>
    <row r="44" spans="1:10" x14ac:dyDescent="0.25">
      <c r="A44" s="85"/>
      <c r="B44" s="90" t="s">
        <v>112</v>
      </c>
      <c r="C44" s="91"/>
      <c r="D44" s="92" t="s">
        <v>115</v>
      </c>
      <c r="E44" s="93" t="s">
        <v>9</v>
      </c>
      <c r="F44" s="83">
        <v>1</v>
      </c>
      <c r="G44" s="142">
        <v>5.9266666666666667</v>
      </c>
      <c r="H44" s="84">
        <f t="shared" ref="H44:H45" si="3">ROUND(F44*G44,2)</f>
        <v>5.93</v>
      </c>
    </row>
    <row r="45" spans="1:10" x14ac:dyDescent="0.25">
      <c r="A45" s="85"/>
      <c r="B45" s="90" t="s">
        <v>112</v>
      </c>
      <c r="C45" s="91"/>
      <c r="D45" s="92" t="s">
        <v>116</v>
      </c>
      <c r="E45" s="93" t="s">
        <v>9</v>
      </c>
      <c r="F45" s="83">
        <v>1</v>
      </c>
      <c r="G45" s="142">
        <v>2.4312499999999999</v>
      </c>
      <c r="H45" s="84">
        <f t="shared" si="3"/>
        <v>2.4300000000000002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144"/>
      <c r="H46" s="96">
        <f>SUBTOTAL(9,H43:H45)</f>
        <v>11.36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126</v>
      </c>
      <c r="B48" s="90"/>
      <c r="C48" s="81" t="s">
        <v>113</v>
      </c>
      <c r="D48" s="127" t="s">
        <v>127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78</v>
      </c>
      <c r="C49" s="136">
        <v>7304</v>
      </c>
      <c r="D49" s="137" t="s">
        <v>63</v>
      </c>
      <c r="E49" s="136" t="s">
        <v>57</v>
      </c>
      <c r="F49" s="138">
        <v>1.0460000000000001E-2</v>
      </c>
      <c r="G49" s="139" t="s">
        <v>129</v>
      </c>
      <c r="H49" s="139">
        <f>ROUND(F49*G49,2)</f>
        <v>0.93</v>
      </c>
    </row>
    <row r="50" spans="1:12" ht="31.5" x14ac:dyDescent="0.25">
      <c r="A50" s="85"/>
      <c r="B50" s="135" t="s">
        <v>47</v>
      </c>
      <c r="C50" s="136">
        <v>88312</v>
      </c>
      <c r="D50" s="137" t="s">
        <v>62</v>
      </c>
      <c r="E50" s="136" t="s">
        <v>14</v>
      </c>
      <c r="F50" s="138">
        <v>0.25</v>
      </c>
      <c r="G50" s="139">
        <v>27.98</v>
      </c>
      <c r="H50" s="139">
        <f>ROUND(F50*G50,2)</f>
        <v>7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7.93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2</xdr:row>
                <xdr:rowOff>142875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view="pageBreakPreview" zoomScale="60" zoomScaleNormal="70" workbookViewId="0">
      <selection activeCell="J6" sqref="J6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102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103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7" t="s">
        <v>136</v>
      </c>
      <c r="C6" s="177"/>
      <c r="D6" s="177"/>
      <c r="E6" s="177"/>
      <c r="F6" s="177"/>
      <c r="G6" s="177"/>
      <c r="H6" s="177"/>
    </row>
    <row r="7" spans="1:15" s="43" customFormat="1" x14ac:dyDescent="0.2">
      <c r="C7" s="26"/>
    </row>
    <row r="8" spans="1:15" s="43" customFormat="1" ht="25.5" x14ac:dyDescent="0.2">
      <c r="A8" s="178" t="s">
        <v>30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74</v>
      </c>
      <c r="C11" s="60">
        <f>ANALÍTICO!I14</f>
        <v>22728.47</v>
      </c>
      <c r="D11" s="63">
        <f>$C$11/7</f>
        <v>3246.9242857142858</v>
      </c>
      <c r="E11" s="63">
        <f>$C$11/7</f>
        <v>3246.9242857142858</v>
      </c>
      <c r="F11" s="63">
        <f t="shared" ref="F11:J11" si="0">$C$11/7</f>
        <v>3246.9242857142858</v>
      </c>
      <c r="G11" s="63">
        <f t="shared" si="0"/>
        <v>3246.9242857142858</v>
      </c>
      <c r="H11" s="63">
        <f t="shared" si="0"/>
        <v>3246.9242857142858</v>
      </c>
      <c r="I11" s="63">
        <f t="shared" si="0"/>
        <v>3246.9242857142858</v>
      </c>
      <c r="J11" s="63">
        <f t="shared" si="0"/>
        <v>3246.9242857142858</v>
      </c>
      <c r="K11" s="63">
        <f>SUM(D11:J11)</f>
        <v>22728.47</v>
      </c>
      <c r="N11" s="67"/>
    </row>
    <row r="12" spans="1:15" s="45" customFormat="1" ht="35.1" customHeight="1" x14ac:dyDescent="0.2">
      <c r="A12" s="47" t="s">
        <v>7</v>
      </c>
      <c r="B12" s="48" t="s">
        <v>108</v>
      </c>
      <c r="C12" s="60">
        <f>ANALÍTICO!I16</f>
        <v>80590.45</v>
      </c>
      <c r="D12" s="63">
        <f t="shared" ref="D12:D14" si="1">$C12/7/2</f>
        <v>5756.4607142857139</v>
      </c>
      <c r="E12" s="63">
        <f t="shared" ref="E12:E14" si="2">$C12/6</f>
        <v>13431.741666666667</v>
      </c>
      <c r="F12" s="63">
        <f t="shared" ref="F12:I14" si="3">$C12/6</f>
        <v>13431.741666666667</v>
      </c>
      <c r="G12" s="63">
        <f t="shared" si="3"/>
        <v>13431.741666666667</v>
      </c>
      <c r="H12" s="63">
        <f t="shared" si="3"/>
        <v>13431.741666666667</v>
      </c>
      <c r="I12" s="63">
        <f t="shared" si="3"/>
        <v>13431.741666666667</v>
      </c>
      <c r="J12" s="63">
        <f t="shared" ref="J12" si="4">C12-SUM(D12:I12)</f>
        <v>7675.280952380941</v>
      </c>
      <c r="K12" s="63">
        <f t="shared" ref="K12" si="5">SUM(D12:J12)</f>
        <v>80590.45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106</v>
      </c>
      <c r="C13" s="51">
        <f>ANALÍTICO!I22</f>
        <v>788908.8</v>
      </c>
      <c r="D13" s="52">
        <f>$C13/7/2</f>
        <v>56350.628571428577</v>
      </c>
      <c r="E13" s="52">
        <f>$C13/6</f>
        <v>131484.80000000002</v>
      </c>
      <c r="F13" s="52">
        <f t="shared" si="3"/>
        <v>131484.80000000002</v>
      </c>
      <c r="G13" s="52">
        <f t="shared" si="3"/>
        <v>131484.80000000002</v>
      </c>
      <c r="H13" s="52">
        <f t="shared" si="3"/>
        <v>131484.80000000002</v>
      </c>
      <c r="I13" s="52">
        <f t="shared" si="3"/>
        <v>131484.80000000002</v>
      </c>
      <c r="J13" s="52">
        <f>C13-SUM(D13:I13)</f>
        <v>75134.171428571339</v>
      </c>
      <c r="K13" s="52">
        <f t="shared" ref="K13:K15" si="6">SUM(D13:J13)</f>
        <v>788908.8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109</v>
      </c>
      <c r="C14" s="51">
        <f>ANALÍTICO!I25</f>
        <v>5624352</v>
      </c>
      <c r="D14" s="52">
        <f t="shared" si="1"/>
        <v>401739.42857142858</v>
      </c>
      <c r="E14" s="52">
        <f t="shared" si="2"/>
        <v>937392</v>
      </c>
      <c r="F14" s="52">
        <f t="shared" si="3"/>
        <v>937392</v>
      </c>
      <c r="G14" s="52">
        <f t="shared" si="3"/>
        <v>937392</v>
      </c>
      <c r="H14" s="52">
        <f t="shared" si="3"/>
        <v>937392</v>
      </c>
      <c r="I14" s="52">
        <f t="shared" si="3"/>
        <v>937392</v>
      </c>
      <c r="J14" s="52">
        <f t="shared" ref="J14" si="7">C14-SUM(D14:I14)</f>
        <v>535652.5714285709</v>
      </c>
      <c r="K14" s="52">
        <f t="shared" si="6"/>
        <v>5624352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125</v>
      </c>
      <c r="C15" s="51">
        <f>ANALÍTICO!I29</f>
        <v>69216.5</v>
      </c>
      <c r="D15" s="52">
        <f>$C15/7</f>
        <v>9888.0714285714294</v>
      </c>
      <c r="E15" s="52">
        <f t="shared" ref="E15:J15" si="8">$C15/7</f>
        <v>9888.0714285714294</v>
      </c>
      <c r="F15" s="52">
        <f t="shared" si="8"/>
        <v>9888.0714285714294</v>
      </c>
      <c r="G15" s="52">
        <f t="shared" si="8"/>
        <v>9888.0714285714294</v>
      </c>
      <c r="H15" s="52">
        <f>$C15/7</f>
        <v>9888.0714285714294</v>
      </c>
      <c r="I15" s="52">
        <f t="shared" si="8"/>
        <v>9888.0714285714294</v>
      </c>
      <c r="J15" s="52">
        <f t="shared" si="8"/>
        <v>9888.0714285714294</v>
      </c>
      <c r="K15" s="52">
        <f t="shared" si="6"/>
        <v>69216.5</v>
      </c>
      <c r="M15" s="45"/>
      <c r="N15" s="66"/>
      <c r="O15" s="45"/>
    </row>
    <row r="16" spans="1:15" s="54" customFormat="1" ht="35.1" customHeight="1" x14ac:dyDescent="0.25">
      <c r="A16" s="49"/>
      <c r="B16" s="50" t="s">
        <v>73</v>
      </c>
      <c r="C16" s="51">
        <f>ANALÍTICO!I33</f>
        <v>6585796.2199999997</v>
      </c>
      <c r="D16" s="52">
        <f t="shared" ref="D16:J16" si="9">SUM(D11:D15)</f>
        <v>476981.5135714286</v>
      </c>
      <c r="E16" s="52">
        <f t="shared" si="9"/>
        <v>1095443.5373809524</v>
      </c>
      <c r="F16" s="52">
        <f t="shared" si="9"/>
        <v>1095443.5373809524</v>
      </c>
      <c r="G16" s="52">
        <f t="shared" si="9"/>
        <v>1095443.5373809524</v>
      </c>
      <c r="H16" s="52">
        <f t="shared" si="9"/>
        <v>1095443.5373809524</v>
      </c>
      <c r="I16" s="52">
        <f t="shared" si="9"/>
        <v>1095443.5373809524</v>
      </c>
      <c r="J16" s="52">
        <f t="shared" si="9"/>
        <v>631597.01952380897</v>
      </c>
      <c r="K16" s="51">
        <f>C16</f>
        <v>6585796.2199999997</v>
      </c>
      <c r="M16" s="45"/>
    </row>
    <row r="17" spans="1:11" ht="35.1" customHeight="1" x14ac:dyDescent="0.25">
      <c r="A17" s="49"/>
      <c r="B17" s="50" t="s">
        <v>40</v>
      </c>
      <c r="C17" s="28">
        <f>C16/C16</f>
        <v>1</v>
      </c>
      <c r="D17" s="27">
        <f>D16/$C$16</f>
        <v>7.2425792969863345E-2</v>
      </c>
      <c r="E17" s="27">
        <f t="shared" ref="E17:J17" si="10">E16/$C$16</f>
        <v>0.16633425948623604</v>
      </c>
      <c r="F17" s="27">
        <f t="shared" si="10"/>
        <v>0.16633425948623604</v>
      </c>
      <c r="G17" s="27">
        <f t="shared" si="10"/>
        <v>0.16633425948623604</v>
      </c>
      <c r="H17" s="27">
        <f t="shared" si="10"/>
        <v>0.16633425948623604</v>
      </c>
      <c r="I17" s="27">
        <f t="shared" si="10"/>
        <v>0.16633425948623604</v>
      </c>
      <c r="J17" s="27">
        <f t="shared" si="10"/>
        <v>9.5902909598956435E-2</v>
      </c>
      <c r="K17" s="28">
        <f>SUM(D17:J17)</f>
        <v>0.99999999999999989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161925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66675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"/>
  <sheetViews>
    <sheetView view="pageBreakPreview" zoomScale="60" zoomScaleNormal="100" workbookViewId="0">
      <selection activeCell="J21" sqref="J2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D41"/>
  <sheetViews>
    <sheetView view="pageBreakPreview" zoomScale="60" zoomScaleNormal="100" workbookViewId="0">
      <selection activeCell="F13" sqref="F13"/>
    </sheetView>
  </sheetViews>
  <sheetFormatPr defaultRowHeight="12.75" x14ac:dyDescent="0.2"/>
  <cols>
    <col min="2" max="2" width="37.85546875" customWidth="1"/>
    <col min="3" max="3" width="27.85546875" customWidth="1"/>
    <col min="4" max="4" width="23.28515625" customWidth="1"/>
  </cols>
  <sheetData>
    <row r="2" spans="1:4" ht="14.25" x14ac:dyDescent="0.2">
      <c r="A2" s="179" t="s">
        <v>138</v>
      </c>
      <c r="B2" s="179"/>
      <c r="C2" s="179"/>
      <c r="D2" s="179"/>
    </row>
    <row r="3" spans="1:4" ht="16.5" x14ac:dyDescent="0.3">
      <c r="A3" s="180"/>
      <c r="B3" s="180"/>
      <c r="C3" s="180"/>
      <c r="D3" s="180"/>
    </row>
    <row r="4" spans="1:4" ht="14.25" x14ac:dyDescent="0.2">
      <c r="A4" s="181" t="s">
        <v>2</v>
      </c>
      <c r="B4" s="181" t="s">
        <v>139</v>
      </c>
      <c r="C4" s="181" t="s">
        <v>140</v>
      </c>
      <c r="D4" s="182" t="s">
        <v>141</v>
      </c>
    </row>
    <row r="5" spans="1:4" ht="16.5" x14ac:dyDescent="0.3">
      <c r="A5" s="183"/>
      <c r="B5" s="183"/>
      <c r="C5" s="183"/>
      <c r="D5" s="184"/>
    </row>
    <row r="6" spans="1:4" ht="16.5" x14ac:dyDescent="0.3">
      <c r="A6" s="185">
        <v>1</v>
      </c>
      <c r="B6" s="186" t="s">
        <v>142</v>
      </c>
      <c r="C6" s="187"/>
      <c r="D6" s="188">
        <v>5.4300000000000001E-2</v>
      </c>
    </row>
    <row r="7" spans="1:4" ht="16.5" x14ac:dyDescent="0.3">
      <c r="A7" s="183"/>
      <c r="B7" s="183"/>
      <c r="C7" s="187"/>
      <c r="D7" s="189"/>
    </row>
    <row r="8" spans="1:4" ht="14.25" x14ac:dyDescent="0.2">
      <c r="A8" s="185">
        <v>2</v>
      </c>
      <c r="B8" s="186" t="s">
        <v>143</v>
      </c>
      <c r="C8" s="190">
        <f>SUM(C9:C11)</f>
        <v>6.6500000000000004E-2</v>
      </c>
      <c r="D8" s="188">
        <f>+C8*(1+D18)</f>
        <v>8.2126480416443493E-2</v>
      </c>
    </row>
    <row r="9" spans="1:4" ht="16.5" x14ac:dyDescent="0.3">
      <c r="A9" s="187" t="s">
        <v>144</v>
      </c>
      <c r="B9" s="183" t="s">
        <v>145</v>
      </c>
      <c r="C9" s="191">
        <v>0.03</v>
      </c>
      <c r="D9" s="192">
        <f>+C9*(1+D18)</f>
        <v>3.7049540037493299E-2</v>
      </c>
    </row>
    <row r="10" spans="1:4" ht="16.5" x14ac:dyDescent="0.3">
      <c r="A10" s="187" t="s">
        <v>146</v>
      </c>
      <c r="B10" s="183" t="s">
        <v>147</v>
      </c>
      <c r="C10" s="191">
        <v>6.4999999999999997E-3</v>
      </c>
      <c r="D10" s="192">
        <f>+C10*(1+D18)</f>
        <v>8.0274003414568806E-3</v>
      </c>
    </row>
    <row r="11" spans="1:4" ht="16.5" x14ac:dyDescent="0.3">
      <c r="A11" s="187" t="s">
        <v>148</v>
      </c>
      <c r="B11" s="183" t="s">
        <v>149</v>
      </c>
      <c r="C11" s="191">
        <v>0.03</v>
      </c>
      <c r="D11" s="192">
        <f>+C11*(1+D18)</f>
        <v>3.7049540037493299E-2</v>
      </c>
    </row>
    <row r="12" spans="1:4" ht="16.5" x14ac:dyDescent="0.3">
      <c r="A12" s="183"/>
      <c r="B12" s="183"/>
      <c r="C12" s="183"/>
      <c r="D12" s="184"/>
    </row>
    <row r="13" spans="1:4" ht="16.5" x14ac:dyDescent="0.3">
      <c r="A13" s="185">
        <v>3</v>
      </c>
      <c r="B13" s="186" t="s">
        <v>150</v>
      </c>
      <c r="C13" s="183"/>
      <c r="D13" s="188">
        <v>0.02</v>
      </c>
    </row>
    <row r="14" spans="1:4" ht="16.5" x14ac:dyDescent="0.3">
      <c r="A14" s="183"/>
      <c r="B14" s="183"/>
      <c r="C14" s="183"/>
      <c r="D14" s="193"/>
    </row>
    <row r="15" spans="1:4" ht="16.5" x14ac:dyDescent="0.3">
      <c r="A15" s="185">
        <v>4</v>
      </c>
      <c r="B15" s="186" t="s">
        <v>151</v>
      </c>
      <c r="C15" s="183"/>
      <c r="D15" s="188">
        <v>0.01</v>
      </c>
    </row>
    <row r="16" spans="1:4" ht="16.5" x14ac:dyDescent="0.3">
      <c r="A16" s="187"/>
      <c r="B16" s="183"/>
      <c r="C16" s="183"/>
      <c r="D16" s="193"/>
    </row>
    <row r="17" spans="1:4" ht="16.5" x14ac:dyDescent="0.3">
      <c r="A17" s="185">
        <v>5</v>
      </c>
      <c r="B17" s="186" t="s">
        <v>152</v>
      </c>
      <c r="C17" s="183"/>
      <c r="D17" s="188">
        <v>6.25E-2</v>
      </c>
    </row>
    <row r="18" spans="1:4" ht="16.5" x14ac:dyDescent="0.3">
      <c r="A18" s="194"/>
      <c r="B18" s="195"/>
      <c r="C18" s="195" t="s">
        <v>153</v>
      </c>
      <c r="D18" s="196">
        <f>+((((1+D6+D13)*(1+D15)*(1+D17))/(1-C8))-1)</f>
        <v>0.23498466791644335</v>
      </c>
    </row>
    <row r="19" spans="1:4" ht="16.5" x14ac:dyDescent="0.3">
      <c r="A19" s="180"/>
      <c r="B19" s="197"/>
      <c r="C19" s="180"/>
      <c r="D19" s="180"/>
    </row>
    <row r="20" spans="1:4" ht="16.5" x14ac:dyDescent="0.3">
      <c r="A20" s="197" t="s">
        <v>154</v>
      </c>
      <c r="B20" s="180"/>
      <c r="C20" s="180"/>
      <c r="D20" s="180"/>
    </row>
    <row r="21" spans="1:4" ht="16.5" x14ac:dyDescent="0.3">
      <c r="A21" s="197"/>
      <c r="B21" s="180"/>
      <c r="C21" s="180"/>
      <c r="D21" s="180"/>
    </row>
    <row r="22" spans="1:4" ht="14.25" x14ac:dyDescent="0.2">
      <c r="A22" s="198"/>
      <c r="B22" s="198"/>
      <c r="C22" s="198"/>
      <c r="D22" s="198"/>
    </row>
    <row r="23" spans="1:4" ht="14.25" x14ac:dyDescent="0.2">
      <c r="A23" s="179"/>
      <c r="B23" s="179"/>
      <c r="C23" s="179"/>
      <c r="D23" s="179"/>
    </row>
    <row r="24" spans="1:4" ht="16.5" x14ac:dyDescent="0.3">
      <c r="A24" s="180"/>
      <c r="B24" s="180"/>
      <c r="C24" s="180"/>
      <c r="D24" s="180"/>
    </row>
    <row r="25" spans="1:4" ht="14.25" x14ac:dyDescent="0.2">
      <c r="A25" s="181" t="s">
        <v>2</v>
      </c>
      <c r="B25" s="181" t="s">
        <v>139</v>
      </c>
      <c r="C25" s="181" t="s">
        <v>140</v>
      </c>
      <c r="D25" s="182" t="s">
        <v>141</v>
      </c>
    </row>
    <row r="26" spans="1:4" ht="16.5" x14ac:dyDescent="0.3">
      <c r="A26" s="183"/>
      <c r="B26" s="183"/>
      <c r="C26" s="199"/>
      <c r="D26" s="200"/>
    </row>
    <row r="27" spans="1:4" ht="16.5" x14ac:dyDescent="0.3">
      <c r="A27" s="185">
        <v>1</v>
      </c>
      <c r="B27" s="186" t="s">
        <v>142</v>
      </c>
      <c r="C27" s="201"/>
      <c r="D27" s="190">
        <v>2.2519999999999998E-2</v>
      </c>
    </row>
    <row r="28" spans="1:4" ht="16.5" x14ac:dyDescent="0.3">
      <c r="A28" s="183"/>
      <c r="B28" s="183"/>
      <c r="C28" s="201"/>
      <c r="D28" s="191"/>
    </row>
    <row r="29" spans="1:4" ht="14.25" x14ac:dyDescent="0.2">
      <c r="A29" s="185">
        <v>2</v>
      </c>
      <c r="B29" s="186" t="s">
        <v>143</v>
      </c>
      <c r="C29" s="202">
        <f>SUM(C30:C32)</f>
        <v>3.6499999999999998E-2</v>
      </c>
      <c r="D29" s="190">
        <f>+C29*(1+D39)</f>
        <v>4.0549977925376235E-2</v>
      </c>
    </row>
    <row r="30" spans="1:4" ht="16.5" x14ac:dyDescent="0.3">
      <c r="A30" s="187" t="s">
        <v>144</v>
      </c>
      <c r="B30" s="183" t="s">
        <v>145</v>
      </c>
      <c r="C30" s="203"/>
      <c r="D30" s="191"/>
    </row>
    <row r="31" spans="1:4" ht="16.5" x14ac:dyDescent="0.3">
      <c r="A31" s="187" t="s">
        <v>146</v>
      </c>
      <c r="B31" s="183" t="s">
        <v>147</v>
      </c>
      <c r="C31" s="203">
        <v>6.4999999999999997E-3</v>
      </c>
      <c r="D31" s="191">
        <f>+C31*(1+D39)</f>
        <v>7.2212289456149463E-3</v>
      </c>
    </row>
    <row r="32" spans="1:4" ht="16.5" x14ac:dyDescent="0.3">
      <c r="A32" s="187" t="s">
        <v>148</v>
      </c>
      <c r="B32" s="183" t="s">
        <v>149</v>
      </c>
      <c r="C32" s="203">
        <v>0.03</v>
      </c>
      <c r="D32" s="191">
        <f>+C32*(1+D39)</f>
        <v>3.3328748979761291E-2</v>
      </c>
    </row>
    <row r="33" spans="1:4" ht="16.5" x14ac:dyDescent="0.3">
      <c r="A33" s="183"/>
      <c r="B33" s="183"/>
      <c r="C33" s="204"/>
      <c r="D33" s="205"/>
    </row>
    <row r="34" spans="1:4" ht="16.5" x14ac:dyDescent="0.3">
      <c r="A34" s="185">
        <v>3</v>
      </c>
      <c r="B34" s="186" t="s">
        <v>150</v>
      </c>
      <c r="C34" s="204"/>
      <c r="D34" s="190">
        <v>0.01</v>
      </c>
    </row>
    <row r="35" spans="1:4" ht="16.5" x14ac:dyDescent="0.3">
      <c r="A35" s="183"/>
      <c r="B35" s="183"/>
      <c r="C35" s="204"/>
      <c r="D35" s="206"/>
    </row>
    <row r="36" spans="1:4" ht="16.5" x14ac:dyDescent="0.3">
      <c r="A36" s="185">
        <v>4</v>
      </c>
      <c r="B36" s="186" t="s">
        <v>151</v>
      </c>
      <c r="C36" s="204"/>
      <c r="D36" s="190">
        <v>6.4999999999999997E-3</v>
      </c>
    </row>
    <row r="37" spans="1:4" ht="16.5" x14ac:dyDescent="0.3">
      <c r="A37" s="187"/>
      <c r="B37" s="183"/>
      <c r="C37" s="204"/>
      <c r="D37" s="206"/>
    </row>
    <row r="38" spans="1:4" ht="16.5" x14ac:dyDescent="0.3">
      <c r="A38" s="185">
        <v>5</v>
      </c>
      <c r="B38" s="186" t="s">
        <v>152</v>
      </c>
      <c r="C38" s="204"/>
      <c r="D38" s="190">
        <v>0.03</v>
      </c>
    </row>
    <row r="39" spans="1:4" ht="16.5" x14ac:dyDescent="0.3">
      <c r="A39" s="194"/>
      <c r="B39" s="195"/>
      <c r="C39" s="207" t="s">
        <v>153</v>
      </c>
      <c r="D39" s="208">
        <f>+((((1+D27+D34)*(1+D36)*(1+D38))/(1-C29))-1)</f>
        <v>0.11095829932537637</v>
      </c>
    </row>
    <row r="40" spans="1:4" ht="16.5" x14ac:dyDescent="0.3">
      <c r="A40" s="180"/>
      <c r="B40" s="180"/>
      <c r="C40" s="180"/>
      <c r="D40" s="180"/>
    </row>
    <row r="41" spans="1:4" ht="16.5" x14ac:dyDescent="0.3">
      <c r="A41" s="197" t="s">
        <v>154</v>
      </c>
      <c r="B41" s="180"/>
      <c r="C41" s="180"/>
      <c r="D41" s="180"/>
    </row>
  </sheetData>
  <mergeCells count="2">
    <mergeCell ref="A2:D2"/>
    <mergeCell ref="A23:D23"/>
  </mergeCells>
  <pageMargins left="0.511811024" right="0.511811024" top="0.78740157499999996" bottom="0.78740157499999996" header="0.31496062000000002" footer="0.31496062000000002"/>
  <pageSetup paperSize="9" scale="9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ANALÍTICO</vt:lpstr>
      <vt:lpstr>COMPOSIÇÕES</vt:lpstr>
      <vt:lpstr>Cronograma Físico-Financeiro</vt:lpstr>
      <vt:lpstr>Encargos Sociais</vt:lpstr>
      <vt:lpstr>BDI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Carlos Alberto Santos Pinheiro</cp:lastModifiedBy>
  <cp:lastPrinted>2024-08-30T12:24:34Z</cp:lastPrinted>
  <dcterms:created xsi:type="dcterms:W3CDTF">2009-11-03T19:36:00Z</dcterms:created>
  <dcterms:modified xsi:type="dcterms:W3CDTF">2024-09-26T18:56:59Z</dcterms:modified>
</cp:coreProperties>
</file>