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C6BAF104-810B-400E-8B07-26743EEBFAAD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'2-MICROASPER-1-ha'!$A$8:$M$132</definedName>
    <definedName name="_xlnm._FilterDatabase" localSheetId="2" hidden="1">'3-MICROASPER-0.5-ha'!$A$8:$M$91</definedName>
    <definedName name="_xlnm._FilterDatabase" localSheetId="3" hidden="1">'4-GOTEJ-1-ha'!$A$8:$M$132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'2-MICROASPER-1-ha'!$A$1:$T$136</definedName>
    <definedName name="_xlnm.Print_Area" localSheetId="2">'3-MICROASPER-0.5-ha'!$A$1:$T$95</definedName>
    <definedName name="_xlnm.Print_Area" localSheetId="3">'4-GOTEJ-1-ha'!$A$1:$T$136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5" i="13" l="1"/>
  <c r="A86" i="13" s="1"/>
  <c r="A87" i="13" s="1"/>
  <c r="A84" i="13"/>
  <c r="A83" i="13"/>
  <c r="A75" i="13"/>
  <c r="A76" i="13" s="1"/>
  <c r="A77" i="13" s="1"/>
  <c r="A78" i="13" s="1"/>
  <c r="A79" i="13" s="1"/>
  <c r="A80" i="13" s="1"/>
  <c r="A81" i="13" s="1"/>
  <c r="A74" i="13"/>
  <c r="A68" i="13"/>
  <c r="A69" i="13" s="1"/>
  <c r="A70" i="13" s="1"/>
  <c r="A71" i="13" s="1"/>
  <c r="A72" i="13" s="1"/>
  <c r="A67" i="13"/>
  <c r="A66" i="13"/>
  <c r="A63" i="13"/>
  <c r="A64" i="13" s="1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A86" i="11"/>
  <c r="A87" i="11" s="1"/>
  <c r="A88" i="11" s="1"/>
  <c r="A89" i="11" s="1"/>
  <c r="A90" i="11" s="1"/>
  <c r="A77" i="11"/>
  <c r="A78" i="11" s="1"/>
  <c r="A79" i="11" s="1"/>
  <c r="A80" i="11" s="1"/>
  <c r="A81" i="11" s="1"/>
  <c r="A82" i="11" s="1"/>
  <c r="A83" i="11" s="1"/>
  <c r="A84" i="11" s="1"/>
  <c r="A71" i="11"/>
  <c r="A72" i="11" s="1"/>
  <c r="A73" i="11" s="1"/>
  <c r="A74" i="11" s="1"/>
  <c r="A75" i="11" s="1"/>
  <c r="A70" i="11"/>
  <c r="A69" i="11"/>
  <c r="A66" i="11"/>
  <c r="A67" i="11" s="1"/>
  <c r="A65" i="11"/>
  <c r="A55" i="11"/>
  <c r="A56" i="11" s="1"/>
  <c r="A57" i="11" s="1"/>
  <c r="A58" i="11" s="1"/>
  <c r="A59" i="11" s="1"/>
  <c r="A60" i="11" s="1"/>
  <c r="A61" i="11" s="1"/>
  <c r="A62" i="11" s="1"/>
  <c r="A54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12" i="11"/>
  <c r="A11" i="11"/>
  <c r="C15" i="6"/>
  <c r="C14" i="6"/>
  <c r="C12" i="6"/>
  <c r="C13" i="6"/>
  <c r="C11" i="6"/>
  <c r="C10" i="6"/>
  <c r="I78" i="13"/>
  <c r="I77" i="13"/>
  <c r="I81" i="11"/>
  <c r="I80" i="11"/>
  <c r="F28" i="13" l="1"/>
  <c r="F30" i="12"/>
  <c r="I55" i="13"/>
  <c r="I54" i="13"/>
  <c r="G53" i="13"/>
  <c r="G52" i="13"/>
  <c r="F51" i="13"/>
  <c r="I122" i="12"/>
  <c r="I119" i="12"/>
  <c r="I117" i="12"/>
  <c r="I116" i="12"/>
  <c r="I113" i="12"/>
  <c r="I110" i="12"/>
  <c r="I109" i="12"/>
  <c r="I101" i="12"/>
  <c r="I100" i="12"/>
  <c r="I98" i="12"/>
  <c r="I96" i="12"/>
  <c r="I92" i="12"/>
  <c r="I72" i="12"/>
  <c r="I71" i="12"/>
  <c r="I63" i="12"/>
  <c r="I62" i="12"/>
  <c r="G61" i="12"/>
  <c r="G60" i="12"/>
  <c r="F59" i="12"/>
  <c r="F27" i="11"/>
  <c r="I58" i="11"/>
  <c r="I57" i="11"/>
  <c r="G56" i="11"/>
  <c r="G55" i="11"/>
  <c r="F54" i="11"/>
  <c r="G61" i="5" l="1"/>
  <c r="G60" i="5"/>
  <c r="F59" i="5"/>
  <c r="F29" i="5" l="1"/>
  <c r="N48" i="14" l="1"/>
  <c r="P48" i="14" s="1"/>
  <c r="O48" i="14"/>
  <c r="R48" i="14"/>
  <c r="T48" i="14" s="1"/>
  <c r="S48" i="14"/>
  <c r="Q48" i="14" l="1"/>
  <c r="I39" i="14"/>
  <c r="I37" i="14"/>
  <c r="I36" i="14"/>
  <c r="I12" i="14"/>
  <c r="I11" i="14"/>
  <c r="I11" i="13"/>
  <c r="I11" i="12"/>
  <c r="I16" i="11"/>
  <c r="I12" i="11"/>
  <c r="I11" i="11"/>
  <c r="I122" i="5" l="1"/>
  <c r="I119" i="5"/>
  <c r="I117" i="5"/>
  <c r="I116" i="5"/>
  <c r="I113" i="5"/>
  <c r="I110" i="5"/>
  <c r="I109" i="5"/>
  <c r="I101" i="5"/>
  <c r="I100" i="5"/>
  <c r="I98" i="5"/>
  <c r="I96" i="5"/>
  <c r="I92" i="5"/>
  <c r="I72" i="5"/>
  <c r="I71" i="5"/>
  <c r="I63" i="5" l="1"/>
  <c r="I62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I17" i="5"/>
  <c r="I12" i="5"/>
  <c r="I51" i="4"/>
  <c r="E131" i="12" l="1"/>
  <c r="E128" i="12"/>
  <c r="E127" i="12"/>
  <c r="E126" i="12"/>
  <c r="E131" i="5"/>
  <c r="E128" i="5"/>
  <c r="E127" i="5"/>
  <c r="E126" i="5"/>
  <c r="S58" i="14" l="1"/>
  <c r="O58" i="14"/>
  <c r="N58" i="14"/>
  <c r="S56" i="14"/>
  <c r="O56" i="14"/>
  <c r="N56" i="14"/>
  <c r="S55" i="14"/>
  <c r="O55" i="14"/>
  <c r="N55" i="14"/>
  <c r="S54" i="14"/>
  <c r="O54" i="14"/>
  <c r="N54" i="14"/>
  <c r="S53" i="14"/>
  <c r="O53" i="14"/>
  <c r="N53" i="14"/>
  <c r="S52" i="14"/>
  <c r="O52" i="14"/>
  <c r="N52" i="14"/>
  <c r="S51" i="14"/>
  <c r="O51" i="14"/>
  <c r="N51" i="14"/>
  <c r="S50" i="14"/>
  <c r="O50" i="14"/>
  <c r="N50" i="14"/>
  <c r="S87" i="13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1" i="13"/>
  <c r="O81" i="13"/>
  <c r="N81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72" i="13"/>
  <c r="O72" i="13"/>
  <c r="N72" i="13"/>
  <c r="S71" i="13"/>
  <c r="O71" i="13"/>
  <c r="N71" i="13"/>
  <c r="S70" i="13"/>
  <c r="O70" i="13"/>
  <c r="N70" i="13"/>
  <c r="S69" i="13"/>
  <c r="O69" i="13"/>
  <c r="N69" i="13"/>
  <c r="S68" i="13"/>
  <c r="O68" i="13"/>
  <c r="N68" i="13"/>
  <c r="S67" i="13"/>
  <c r="O67" i="13"/>
  <c r="N67" i="13"/>
  <c r="S66" i="13"/>
  <c r="O66" i="13"/>
  <c r="N66" i="13"/>
  <c r="S64" i="13"/>
  <c r="O64" i="13"/>
  <c r="N64" i="13"/>
  <c r="S63" i="13"/>
  <c r="O63" i="13"/>
  <c r="N63" i="13"/>
  <c r="S62" i="13"/>
  <c r="O62" i="13"/>
  <c r="N62" i="13"/>
  <c r="S131" i="12"/>
  <c r="O131" i="12"/>
  <c r="N131" i="12"/>
  <c r="S130" i="12"/>
  <c r="O130" i="12"/>
  <c r="N130" i="12"/>
  <c r="S129" i="12"/>
  <c r="O129" i="12"/>
  <c r="N129" i="12"/>
  <c r="Q129" i="12" s="1"/>
  <c r="S128" i="12"/>
  <c r="O128" i="12"/>
  <c r="N128" i="12"/>
  <c r="S127" i="12"/>
  <c r="O127" i="12"/>
  <c r="N127" i="12"/>
  <c r="S126" i="12"/>
  <c r="Q126" i="12"/>
  <c r="O126" i="12"/>
  <c r="N126" i="12"/>
  <c r="S124" i="12"/>
  <c r="O124" i="12"/>
  <c r="N124" i="12"/>
  <c r="S123" i="12"/>
  <c r="O123" i="12"/>
  <c r="N123" i="12"/>
  <c r="S122" i="12"/>
  <c r="O122" i="12"/>
  <c r="N122" i="12"/>
  <c r="P122" i="12" s="1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Q115" i="12" s="1"/>
  <c r="S114" i="12"/>
  <c r="O114" i="12"/>
  <c r="N114" i="12"/>
  <c r="Q114" i="12" s="1"/>
  <c r="S113" i="12"/>
  <c r="O113" i="12"/>
  <c r="N113" i="12"/>
  <c r="S111" i="12"/>
  <c r="O111" i="12"/>
  <c r="N111" i="12"/>
  <c r="S110" i="12"/>
  <c r="O110" i="12"/>
  <c r="N110" i="12"/>
  <c r="S109" i="12"/>
  <c r="O109" i="12"/>
  <c r="N109" i="12"/>
  <c r="S108" i="12"/>
  <c r="O108" i="12"/>
  <c r="N108" i="12"/>
  <c r="S107" i="12"/>
  <c r="O107" i="12"/>
  <c r="N107" i="12"/>
  <c r="S106" i="12"/>
  <c r="O106" i="12"/>
  <c r="N106" i="12"/>
  <c r="Q106" i="12" s="1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S101" i="12"/>
  <c r="O101" i="12"/>
  <c r="N101" i="12"/>
  <c r="S100" i="12"/>
  <c r="O100" i="12"/>
  <c r="N100" i="12"/>
  <c r="N70" i="12"/>
  <c r="O70" i="12"/>
  <c r="S70" i="12"/>
  <c r="N71" i="12"/>
  <c r="O71" i="12"/>
  <c r="S71" i="12"/>
  <c r="N72" i="12"/>
  <c r="Q72" i="12" s="1"/>
  <c r="R72" i="12" s="1"/>
  <c r="O72" i="12"/>
  <c r="P72" i="12" s="1"/>
  <c r="S72" i="12"/>
  <c r="N73" i="12"/>
  <c r="O73" i="12"/>
  <c r="S73" i="12"/>
  <c r="N74" i="12"/>
  <c r="Q74" i="12" s="1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S78" i="12"/>
  <c r="N79" i="12"/>
  <c r="O79" i="12"/>
  <c r="S79" i="12"/>
  <c r="N80" i="12"/>
  <c r="O80" i="12"/>
  <c r="Q80" i="12" s="1"/>
  <c r="S80" i="12"/>
  <c r="N81" i="12"/>
  <c r="O81" i="12"/>
  <c r="S81" i="12"/>
  <c r="N82" i="12"/>
  <c r="O82" i="12"/>
  <c r="S82" i="12"/>
  <c r="N83" i="12"/>
  <c r="O83" i="12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S91" i="12"/>
  <c r="N92" i="12"/>
  <c r="O92" i="12"/>
  <c r="S92" i="12"/>
  <c r="N93" i="12"/>
  <c r="O93" i="12"/>
  <c r="S93" i="12"/>
  <c r="N94" i="12"/>
  <c r="O94" i="12"/>
  <c r="S94" i="12"/>
  <c r="N95" i="12"/>
  <c r="O95" i="12"/>
  <c r="S95" i="12"/>
  <c r="N96" i="12"/>
  <c r="O96" i="12"/>
  <c r="S96" i="12"/>
  <c r="N97" i="12"/>
  <c r="O97" i="12"/>
  <c r="S97" i="12"/>
  <c r="N98" i="12"/>
  <c r="O98" i="12"/>
  <c r="S98" i="12"/>
  <c r="S57" i="12"/>
  <c r="O57" i="12"/>
  <c r="N57" i="12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A126" i="12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S90" i="11"/>
  <c r="O90" i="11"/>
  <c r="N90" i="11"/>
  <c r="S89" i="11"/>
  <c r="O89" i="11"/>
  <c r="N89" i="11"/>
  <c r="S88" i="11"/>
  <c r="O88" i="11"/>
  <c r="N88" i="11"/>
  <c r="S87" i="11"/>
  <c r="O87" i="11"/>
  <c r="N87" i="1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6" i="5"/>
  <c r="O126" i="5"/>
  <c r="N126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3" i="5"/>
  <c r="O113" i="5"/>
  <c r="N113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100" i="5"/>
  <c r="O100" i="5"/>
  <c r="N100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S71" i="5"/>
  <c r="O71" i="5"/>
  <c r="N71" i="5"/>
  <c r="A126" i="5"/>
  <c r="P62" i="13" l="1"/>
  <c r="Q83" i="11"/>
  <c r="Q88" i="11"/>
  <c r="Q72" i="5"/>
  <c r="Q87" i="11"/>
  <c r="P101" i="12"/>
  <c r="P109" i="12"/>
  <c r="Q57" i="12"/>
  <c r="P91" i="12"/>
  <c r="Q102" i="12"/>
  <c r="Q72" i="13"/>
  <c r="Q110" i="12"/>
  <c r="P81" i="12"/>
  <c r="Q72" i="11"/>
  <c r="Q56" i="12"/>
  <c r="Q76" i="13"/>
  <c r="P67" i="13"/>
  <c r="Q63" i="13"/>
  <c r="Q74" i="13"/>
  <c r="P66" i="13"/>
  <c r="Q119" i="12"/>
  <c r="P117" i="12"/>
  <c r="Q96" i="12"/>
  <c r="P87" i="12"/>
  <c r="P70" i="12"/>
  <c r="P97" i="12"/>
  <c r="P52" i="12"/>
  <c r="Q81" i="12"/>
  <c r="R81" i="12" s="1"/>
  <c r="T81" i="12" s="1"/>
  <c r="P107" i="12"/>
  <c r="P130" i="12"/>
  <c r="Q80" i="11"/>
  <c r="Q81" i="11"/>
  <c r="Q79" i="11"/>
  <c r="Q82" i="11"/>
  <c r="P74" i="11"/>
  <c r="Q86" i="11"/>
  <c r="Q77" i="11"/>
  <c r="P89" i="11"/>
  <c r="Q124" i="5"/>
  <c r="Q123" i="5"/>
  <c r="Q77" i="5"/>
  <c r="Q93" i="5"/>
  <c r="R93" i="5" s="1"/>
  <c r="T93" i="5" s="1"/>
  <c r="Q96" i="5"/>
  <c r="P109" i="5"/>
  <c r="Q105" i="5"/>
  <c r="Q101" i="5"/>
  <c r="Q100" i="5"/>
  <c r="Q88" i="5"/>
  <c r="Q80" i="5"/>
  <c r="Q109" i="5"/>
  <c r="Q128" i="5"/>
  <c r="P78" i="5"/>
  <c r="P86" i="5"/>
  <c r="Q103" i="5"/>
  <c r="P126" i="5"/>
  <c r="P83" i="13"/>
  <c r="P84" i="13"/>
  <c r="Q77" i="13"/>
  <c r="P78" i="13"/>
  <c r="Q79" i="13"/>
  <c r="P85" i="5"/>
  <c r="Q102" i="5"/>
  <c r="P110" i="5"/>
  <c r="P119" i="5"/>
  <c r="Q65" i="11"/>
  <c r="P71" i="12"/>
  <c r="Q114" i="5"/>
  <c r="Q131" i="5"/>
  <c r="Q88" i="12"/>
  <c r="P78" i="12"/>
  <c r="P75" i="12"/>
  <c r="P113" i="12"/>
  <c r="P121" i="12"/>
  <c r="P72" i="13"/>
  <c r="Q83" i="13"/>
  <c r="R83" i="13" s="1"/>
  <c r="T83" i="13" s="1"/>
  <c r="Q73" i="5"/>
  <c r="Q81" i="5"/>
  <c r="Q89" i="5"/>
  <c r="Q94" i="5"/>
  <c r="Q97" i="5"/>
  <c r="Q106" i="5"/>
  <c r="Q111" i="5"/>
  <c r="Q120" i="5"/>
  <c r="P129" i="5"/>
  <c r="Q90" i="12"/>
  <c r="P95" i="12"/>
  <c r="P77" i="13"/>
  <c r="Q71" i="5"/>
  <c r="Q79" i="5"/>
  <c r="Q87" i="5"/>
  <c r="Q95" i="5"/>
  <c r="Q104" i="5"/>
  <c r="Q118" i="5"/>
  <c r="P75" i="11"/>
  <c r="Q84" i="11"/>
  <c r="Q89" i="12"/>
  <c r="P100" i="12"/>
  <c r="Q108" i="12"/>
  <c r="P50" i="14"/>
  <c r="P74" i="5"/>
  <c r="Q82" i="5"/>
  <c r="Q90" i="5"/>
  <c r="P98" i="5"/>
  <c r="Q113" i="5"/>
  <c r="Q121" i="5"/>
  <c r="Q130" i="5"/>
  <c r="P94" i="12"/>
  <c r="Q111" i="12"/>
  <c r="P71" i="13"/>
  <c r="Q75" i="13"/>
  <c r="R72" i="13"/>
  <c r="T72" i="13" s="1"/>
  <c r="Q70" i="13"/>
  <c r="Q87" i="13"/>
  <c r="Q62" i="13"/>
  <c r="Q68" i="13"/>
  <c r="Q80" i="13"/>
  <c r="Q71" i="13"/>
  <c r="P76" i="13"/>
  <c r="Q66" i="13"/>
  <c r="Q69" i="13"/>
  <c r="Q78" i="13"/>
  <c r="P81" i="13"/>
  <c r="Q86" i="13"/>
  <c r="Q64" i="13"/>
  <c r="Q85" i="13"/>
  <c r="P92" i="12"/>
  <c r="P80" i="12"/>
  <c r="P89" i="12"/>
  <c r="P82" i="12"/>
  <c r="Q109" i="12"/>
  <c r="R109" i="12" s="1"/>
  <c r="T109" i="12" s="1"/>
  <c r="Q118" i="12"/>
  <c r="Q98" i="12"/>
  <c r="P77" i="12"/>
  <c r="Q70" i="12"/>
  <c r="Q127" i="12"/>
  <c r="P79" i="12"/>
  <c r="Q116" i="12"/>
  <c r="Q124" i="12"/>
  <c r="Q97" i="12"/>
  <c r="R97" i="12" s="1"/>
  <c r="T97" i="12" s="1"/>
  <c r="P88" i="12"/>
  <c r="R88" i="12" s="1"/>
  <c r="T88" i="12" s="1"/>
  <c r="Q86" i="12"/>
  <c r="P83" i="12"/>
  <c r="P76" i="12"/>
  <c r="Q100" i="12"/>
  <c r="R100" i="12" s="1"/>
  <c r="T100" i="12" s="1"/>
  <c r="P108" i="12"/>
  <c r="Q117" i="12"/>
  <c r="P126" i="12"/>
  <c r="R126" i="12" s="1"/>
  <c r="T126" i="12" s="1"/>
  <c r="Q120" i="12"/>
  <c r="Q95" i="12"/>
  <c r="P73" i="12"/>
  <c r="Q78" i="12"/>
  <c r="T72" i="12"/>
  <c r="Q87" i="12"/>
  <c r="P96" i="12"/>
  <c r="Q74" i="11"/>
  <c r="Q78" i="11"/>
  <c r="P80" i="11"/>
  <c r="Q66" i="11"/>
  <c r="Q70" i="11"/>
  <c r="P73" i="11"/>
  <c r="P81" i="11"/>
  <c r="Q67" i="11"/>
  <c r="Q71" i="11"/>
  <c r="Q75" i="11"/>
  <c r="R75" i="11" s="1"/>
  <c r="T75" i="11" s="1"/>
  <c r="P65" i="11"/>
  <c r="Q69" i="11"/>
  <c r="P86" i="11"/>
  <c r="R86" i="11" s="1"/>
  <c r="T86" i="11" s="1"/>
  <c r="Q90" i="11"/>
  <c r="Q78" i="5"/>
  <c r="P101" i="5"/>
  <c r="Q110" i="5"/>
  <c r="R110" i="5" s="1"/>
  <c r="T110" i="5" s="1"/>
  <c r="Q127" i="5"/>
  <c r="P77" i="5"/>
  <c r="R77" i="5" s="1"/>
  <c r="T77" i="5" s="1"/>
  <c r="Q86" i="5"/>
  <c r="R86" i="5" s="1"/>
  <c r="T86" i="5" s="1"/>
  <c r="Q117" i="5"/>
  <c r="Q129" i="5"/>
  <c r="R129" i="5" s="1"/>
  <c r="T129" i="5" s="1"/>
  <c r="P94" i="5"/>
  <c r="R94" i="5" s="1"/>
  <c r="T94" i="5" s="1"/>
  <c r="P102" i="5"/>
  <c r="Q107" i="5"/>
  <c r="Q115" i="5"/>
  <c r="Q119" i="5"/>
  <c r="R119" i="5" s="1"/>
  <c r="T119" i="5" s="1"/>
  <c r="Q122" i="5"/>
  <c r="R109" i="5"/>
  <c r="T109" i="5" s="1"/>
  <c r="P128" i="5"/>
  <c r="R128" i="5" s="1"/>
  <c r="T128" i="5" s="1"/>
  <c r="Q85" i="5"/>
  <c r="Q116" i="5"/>
  <c r="P118" i="5"/>
  <c r="Q126" i="5"/>
  <c r="R126" i="5" s="1"/>
  <c r="T126" i="5" s="1"/>
  <c r="Q108" i="5"/>
  <c r="P93" i="5"/>
  <c r="Q54" i="14"/>
  <c r="R54" i="14" s="1"/>
  <c r="T54" i="14" s="1"/>
  <c r="Q55" i="14"/>
  <c r="Q56" i="14"/>
  <c r="P55" i="14"/>
  <c r="Q51" i="14"/>
  <c r="P54" i="14"/>
  <c r="P56" i="14"/>
  <c r="Q52" i="14"/>
  <c r="Q53" i="14"/>
  <c r="Q58" i="14"/>
  <c r="Q50" i="14"/>
  <c r="R50" i="14" s="1"/>
  <c r="T50" i="14" s="1"/>
  <c r="P58" i="14"/>
  <c r="P53" i="14"/>
  <c r="P52" i="14"/>
  <c r="P51" i="14"/>
  <c r="R86" i="13"/>
  <c r="T86" i="13" s="1"/>
  <c r="P70" i="13"/>
  <c r="P69" i="13"/>
  <c r="P68" i="13"/>
  <c r="P80" i="13"/>
  <c r="Q81" i="13"/>
  <c r="P85" i="13"/>
  <c r="P79" i="13"/>
  <c r="Q67" i="13"/>
  <c r="Q84" i="13"/>
  <c r="P75" i="13"/>
  <c r="P87" i="13"/>
  <c r="R87" i="13" s="1"/>
  <c r="T87" i="13" s="1"/>
  <c r="P74" i="13"/>
  <c r="P86" i="13"/>
  <c r="P64" i="13"/>
  <c r="R64" i="13" s="1"/>
  <c r="T64" i="13" s="1"/>
  <c r="P63" i="13"/>
  <c r="R80" i="12"/>
  <c r="T80" i="12" s="1"/>
  <c r="Q71" i="12"/>
  <c r="Q94" i="12"/>
  <c r="R94" i="12" s="1"/>
  <c r="T94" i="12" s="1"/>
  <c r="P86" i="12"/>
  <c r="P84" i="12"/>
  <c r="Q107" i="12"/>
  <c r="Q52" i="12"/>
  <c r="R52" i="12" s="1"/>
  <c r="T52" i="12" s="1"/>
  <c r="Q55" i="12"/>
  <c r="P74" i="12"/>
  <c r="R74" i="12" s="1"/>
  <c r="T74" i="12" s="1"/>
  <c r="Q105" i="12"/>
  <c r="Q128" i="12"/>
  <c r="P53" i="12"/>
  <c r="P98" i="12"/>
  <c r="R98" i="12" s="1"/>
  <c r="T98" i="12" s="1"/>
  <c r="P93" i="12"/>
  <c r="Q103" i="12"/>
  <c r="P118" i="12"/>
  <c r="Q123" i="12"/>
  <c r="Q131" i="12"/>
  <c r="Q73" i="12"/>
  <c r="P90" i="12"/>
  <c r="P85" i="12"/>
  <c r="Q82" i="12"/>
  <c r="R82" i="12" s="1"/>
  <c r="T82" i="12" s="1"/>
  <c r="Q79" i="12"/>
  <c r="Q54" i="12"/>
  <c r="R70" i="12"/>
  <c r="T70" i="12" s="1"/>
  <c r="Q101" i="12"/>
  <c r="R101" i="12" s="1"/>
  <c r="T101" i="12" s="1"/>
  <c r="Q104" i="12"/>
  <c r="P127" i="12"/>
  <c r="P104" i="12"/>
  <c r="Q122" i="12"/>
  <c r="R122" i="12" s="1"/>
  <c r="T122" i="12" s="1"/>
  <c r="P103" i="12"/>
  <c r="R103" i="12" s="1"/>
  <c r="T103" i="12" s="1"/>
  <c r="P111" i="12"/>
  <c r="R111" i="12" s="1"/>
  <c r="T111" i="12" s="1"/>
  <c r="Q113" i="12"/>
  <c r="R113" i="12" s="1"/>
  <c r="T113" i="12" s="1"/>
  <c r="P120" i="12"/>
  <c r="R120" i="12" s="1"/>
  <c r="T120" i="12" s="1"/>
  <c r="Q121" i="12"/>
  <c r="P129" i="12"/>
  <c r="R129" i="12" s="1"/>
  <c r="T129" i="12" s="1"/>
  <c r="Q130" i="12"/>
  <c r="R130" i="12" s="1"/>
  <c r="T130" i="12" s="1"/>
  <c r="P102" i="12"/>
  <c r="R102" i="12" s="1"/>
  <c r="T102" i="12" s="1"/>
  <c r="P110" i="12"/>
  <c r="R110" i="12" s="1"/>
  <c r="T110" i="12" s="1"/>
  <c r="P119" i="12"/>
  <c r="R119" i="12" s="1"/>
  <c r="T119" i="12" s="1"/>
  <c r="P128" i="12"/>
  <c r="P116" i="12"/>
  <c r="P124" i="12"/>
  <c r="P106" i="12"/>
  <c r="R106" i="12" s="1"/>
  <c r="T106" i="12" s="1"/>
  <c r="P115" i="12"/>
  <c r="R115" i="12" s="1"/>
  <c r="T115" i="12" s="1"/>
  <c r="P123" i="12"/>
  <c r="P105" i="12"/>
  <c r="P114" i="12"/>
  <c r="R114" i="12" s="1"/>
  <c r="T114" i="12" s="1"/>
  <c r="P131" i="12"/>
  <c r="Q91" i="12"/>
  <c r="R91" i="12" s="1"/>
  <c r="T91" i="12" s="1"/>
  <c r="Q83" i="12"/>
  <c r="Q75" i="12"/>
  <c r="Q92" i="12"/>
  <c r="Q84" i="12"/>
  <c r="Q76" i="12"/>
  <c r="Q93" i="12"/>
  <c r="Q85" i="12"/>
  <c r="Q77" i="12"/>
  <c r="R77" i="12" s="1"/>
  <c r="T77" i="12" s="1"/>
  <c r="P56" i="12"/>
  <c r="R56" i="12" s="1"/>
  <c r="T56" i="12" s="1"/>
  <c r="P55" i="12"/>
  <c r="P54" i="12"/>
  <c r="Q53" i="12"/>
  <c r="P57" i="12"/>
  <c r="R57" i="12" s="1"/>
  <c r="T57" i="12" s="1"/>
  <c r="P79" i="11"/>
  <c r="P78" i="11"/>
  <c r="P90" i="11"/>
  <c r="P77" i="11"/>
  <c r="P84" i="11"/>
  <c r="Q89" i="11"/>
  <c r="R89" i="11" s="1"/>
  <c r="T89" i="11" s="1"/>
  <c r="P83" i="11"/>
  <c r="P88" i="11"/>
  <c r="R88" i="11" s="1"/>
  <c r="T88" i="11" s="1"/>
  <c r="P82" i="11"/>
  <c r="R82" i="11" s="1"/>
  <c r="T82" i="11" s="1"/>
  <c r="P87" i="11"/>
  <c r="R87" i="11" s="1"/>
  <c r="T87" i="11" s="1"/>
  <c r="P72" i="11"/>
  <c r="Q73" i="11"/>
  <c r="P71" i="11"/>
  <c r="P70" i="11"/>
  <c r="P69" i="11"/>
  <c r="P67" i="11"/>
  <c r="P66" i="11"/>
  <c r="P127" i="5"/>
  <c r="P131" i="5"/>
  <c r="R131" i="5" s="1"/>
  <c r="T131" i="5" s="1"/>
  <c r="P130" i="5"/>
  <c r="R130" i="5" s="1"/>
  <c r="T130" i="5" s="1"/>
  <c r="P100" i="5"/>
  <c r="R100" i="5" s="1"/>
  <c r="T100" i="5" s="1"/>
  <c r="P108" i="5"/>
  <c r="P117" i="5"/>
  <c r="P107" i="5"/>
  <c r="P116" i="5"/>
  <c r="P124" i="5"/>
  <c r="R124" i="5" s="1"/>
  <c r="T124" i="5" s="1"/>
  <c r="P106" i="5"/>
  <c r="P115" i="5"/>
  <c r="P123" i="5"/>
  <c r="R123" i="5" s="1"/>
  <c r="T123" i="5" s="1"/>
  <c r="P105" i="5"/>
  <c r="R105" i="5" s="1"/>
  <c r="T105" i="5" s="1"/>
  <c r="P114" i="5"/>
  <c r="P122" i="5"/>
  <c r="R122" i="5" s="1"/>
  <c r="T122" i="5" s="1"/>
  <c r="P104" i="5"/>
  <c r="P113" i="5"/>
  <c r="P121" i="5"/>
  <c r="P103" i="5"/>
  <c r="P111" i="5"/>
  <c r="P120" i="5"/>
  <c r="R120" i="5" s="1"/>
  <c r="T120" i="5" s="1"/>
  <c r="P84" i="5"/>
  <c r="Q84" i="5"/>
  <c r="Q91" i="5"/>
  <c r="P91" i="5"/>
  <c r="P76" i="5"/>
  <c r="Q76" i="5"/>
  <c r="Q83" i="5"/>
  <c r="P83" i="5"/>
  <c r="R85" i="5"/>
  <c r="T85" i="5" s="1"/>
  <c r="Q92" i="5"/>
  <c r="P92" i="5"/>
  <c r="Q75" i="5"/>
  <c r="P75" i="5"/>
  <c r="P82" i="5"/>
  <c r="R82" i="5" s="1"/>
  <c r="T82" i="5" s="1"/>
  <c r="P90" i="5"/>
  <c r="P73" i="5"/>
  <c r="R73" i="5" s="1"/>
  <c r="T73" i="5" s="1"/>
  <c r="Q74" i="5"/>
  <c r="R74" i="5" s="1"/>
  <c r="T74" i="5" s="1"/>
  <c r="P81" i="5"/>
  <c r="P89" i="5"/>
  <c r="P97" i="5"/>
  <c r="Q98" i="5"/>
  <c r="P72" i="5"/>
  <c r="R72" i="5" s="1"/>
  <c r="T72" i="5" s="1"/>
  <c r="P80" i="5"/>
  <c r="R80" i="5" s="1"/>
  <c r="T80" i="5" s="1"/>
  <c r="P88" i="5"/>
  <c r="P96" i="5"/>
  <c r="R96" i="5" s="1"/>
  <c r="T96" i="5" s="1"/>
  <c r="P71" i="5"/>
  <c r="P79" i="5"/>
  <c r="R79" i="5" s="1"/>
  <c r="T79" i="5" s="1"/>
  <c r="P87" i="5"/>
  <c r="P95" i="5"/>
  <c r="R84" i="11" l="1"/>
  <c r="T84" i="11" s="1"/>
  <c r="R62" i="13"/>
  <c r="T62" i="13" s="1"/>
  <c r="R67" i="13"/>
  <c r="T67" i="13" s="1"/>
  <c r="R78" i="13"/>
  <c r="T78" i="13" s="1"/>
  <c r="R74" i="13"/>
  <c r="T74" i="13" s="1"/>
  <c r="R83" i="11"/>
  <c r="T83" i="11" s="1"/>
  <c r="R72" i="11"/>
  <c r="T72" i="11" s="1"/>
  <c r="R74" i="11"/>
  <c r="T74" i="11" s="1"/>
  <c r="R55" i="12"/>
  <c r="T55" i="12" s="1"/>
  <c r="R71" i="13"/>
  <c r="T71" i="13" s="1"/>
  <c r="R65" i="11"/>
  <c r="T65" i="11" s="1"/>
  <c r="R81" i="11"/>
  <c r="T81" i="11" s="1"/>
  <c r="R76" i="13"/>
  <c r="T76" i="13" s="1"/>
  <c r="R117" i="12"/>
  <c r="T117" i="12" s="1"/>
  <c r="R121" i="12"/>
  <c r="T121" i="12" s="1"/>
  <c r="R96" i="12"/>
  <c r="T96" i="12" s="1"/>
  <c r="R87" i="12"/>
  <c r="T87" i="12" s="1"/>
  <c r="R86" i="12"/>
  <c r="T86" i="12" s="1"/>
  <c r="R80" i="11"/>
  <c r="T80" i="11" s="1"/>
  <c r="R66" i="11"/>
  <c r="T66" i="11" s="1"/>
  <c r="R77" i="13"/>
  <c r="T77" i="13" s="1"/>
  <c r="R80" i="13"/>
  <c r="T80" i="13" s="1"/>
  <c r="R69" i="13"/>
  <c r="T69" i="13" s="1"/>
  <c r="R63" i="13"/>
  <c r="T63" i="13" s="1"/>
  <c r="R66" i="13"/>
  <c r="T66" i="13" s="1"/>
  <c r="R123" i="12"/>
  <c r="T123" i="12" s="1"/>
  <c r="R107" i="12"/>
  <c r="T107" i="12" s="1"/>
  <c r="R76" i="12"/>
  <c r="T76" i="12" s="1"/>
  <c r="R90" i="12"/>
  <c r="T90" i="12" s="1"/>
  <c r="R92" i="12"/>
  <c r="T92" i="12" s="1"/>
  <c r="R75" i="12"/>
  <c r="T75" i="12" s="1"/>
  <c r="R73" i="12"/>
  <c r="T73" i="12" s="1"/>
  <c r="R89" i="12"/>
  <c r="T89" i="12" s="1"/>
  <c r="R79" i="11"/>
  <c r="T79" i="11" s="1"/>
  <c r="R78" i="11"/>
  <c r="T78" i="11" s="1"/>
  <c r="R73" i="11"/>
  <c r="T73" i="11" s="1"/>
  <c r="R77" i="11"/>
  <c r="T77" i="11" s="1"/>
  <c r="R70" i="11"/>
  <c r="T70" i="11" s="1"/>
  <c r="R67" i="11"/>
  <c r="T67" i="11" s="1"/>
  <c r="R101" i="5"/>
  <c r="T101" i="5" s="1"/>
  <c r="R102" i="5"/>
  <c r="T102" i="5" s="1"/>
  <c r="R103" i="5"/>
  <c r="T103" i="5" s="1"/>
  <c r="R118" i="5"/>
  <c r="T118" i="5" s="1"/>
  <c r="R115" i="5"/>
  <c r="T115" i="5" s="1"/>
  <c r="R121" i="5"/>
  <c r="T121" i="5" s="1"/>
  <c r="R116" i="5"/>
  <c r="T116" i="5" s="1"/>
  <c r="R88" i="5"/>
  <c r="T88" i="5" s="1"/>
  <c r="R90" i="5"/>
  <c r="T90" i="5" s="1"/>
  <c r="R87" i="5"/>
  <c r="T87" i="5" s="1"/>
  <c r="R97" i="5"/>
  <c r="T97" i="5" s="1"/>
  <c r="R106" i="5"/>
  <c r="T106" i="5" s="1"/>
  <c r="R107" i="5"/>
  <c r="T107" i="5" s="1"/>
  <c r="R75" i="5"/>
  <c r="T75" i="5" s="1"/>
  <c r="R89" i="5"/>
  <c r="T89" i="5" s="1"/>
  <c r="R71" i="5"/>
  <c r="T71" i="5" s="1"/>
  <c r="R81" i="5"/>
  <c r="T81" i="5" s="1"/>
  <c r="R78" i="5"/>
  <c r="T78" i="5" s="1"/>
  <c r="R84" i="13"/>
  <c r="T84" i="13" s="1"/>
  <c r="R75" i="13"/>
  <c r="T75" i="13" s="1"/>
  <c r="R79" i="13"/>
  <c r="T79" i="13" s="1"/>
  <c r="R108" i="12"/>
  <c r="T108" i="12" s="1"/>
  <c r="R124" i="12"/>
  <c r="T124" i="12" s="1"/>
  <c r="R113" i="5"/>
  <c r="T113" i="5" s="1"/>
  <c r="R104" i="5"/>
  <c r="T104" i="5" s="1"/>
  <c r="R108" i="5"/>
  <c r="T108" i="5" s="1"/>
  <c r="R84" i="5"/>
  <c r="T84" i="5" s="1"/>
  <c r="R84" i="12"/>
  <c r="T84" i="12" s="1"/>
  <c r="R71" i="12"/>
  <c r="T71" i="12" s="1"/>
  <c r="R78" i="12"/>
  <c r="T78" i="12" s="1"/>
  <c r="R114" i="5"/>
  <c r="T114" i="5" s="1"/>
  <c r="R117" i="5"/>
  <c r="T117" i="5" s="1"/>
  <c r="R104" i="12"/>
  <c r="T104" i="12" s="1"/>
  <c r="R95" i="12"/>
  <c r="T95" i="12" s="1"/>
  <c r="R127" i="12"/>
  <c r="T127" i="12" s="1"/>
  <c r="R95" i="5"/>
  <c r="T95" i="5" s="1"/>
  <c r="R98" i="5"/>
  <c r="T98" i="5" s="1"/>
  <c r="R111" i="5"/>
  <c r="T111" i="5" s="1"/>
  <c r="R70" i="13"/>
  <c r="T70" i="13" s="1"/>
  <c r="R85" i="13"/>
  <c r="T85" i="13" s="1"/>
  <c r="R81" i="13"/>
  <c r="T81" i="13" s="1"/>
  <c r="R68" i="13"/>
  <c r="T68" i="13" s="1"/>
  <c r="R83" i="12"/>
  <c r="T83" i="12" s="1"/>
  <c r="R116" i="12"/>
  <c r="T116" i="12" s="1"/>
  <c r="R131" i="12"/>
  <c r="T131" i="12" s="1"/>
  <c r="R128" i="12"/>
  <c r="T128" i="12" s="1"/>
  <c r="R79" i="12"/>
  <c r="T79" i="12" s="1"/>
  <c r="R93" i="12"/>
  <c r="T93" i="12" s="1"/>
  <c r="R118" i="12"/>
  <c r="T118" i="12" s="1"/>
  <c r="R105" i="12"/>
  <c r="T105" i="12" s="1"/>
  <c r="R71" i="11"/>
  <c r="T71" i="11" s="1"/>
  <c r="R90" i="11"/>
  <c r="T90" i="11" s="1"/>
  <c r="R69" i="11"/>
  <c r="T69" i="11" s="1"/>
  <c r="R127" i="5"/>
  <c r="T127" i="5" s="1"/>
  <c r="R56" i="14"/>
  <c r="T56" i="14" s="1"/>
  <c r="R55" i="14"/>
  <c r="T55" i="14" s="1"/>
  <c r="R58" i="14"/>
  <c r="T58" i="14" s="1"/>
  <c r="R51" i="14"/>
  <c r="T51" i="14" s="1"/>
  <c r="R53" i="14"/>
  <c r="T53" i="14" s="1"/>
  <c r="R52" i="14"/>
  <c r="T52" i="14" s="1"/>
  <c r="R53" i="12"/>
  <c r="T53" i="12" s="1"/>
  <c r="R54" i="12"/>
  <c r="T54" i="12" s="1"/>
  <c r="R85" i="12"/>
  <c r="T85" i="12" s="1"/>
  <c r="R83" i="5"/>
  <c r="T83" i="5" s="1"/>
  <c r="R91" i="5"/>
  <c r="T91" i="5" s="1"/>
  <c r="R92" i="5"/>
  <c r="T92" i="5" s="1"/>
  <c r="R76" i="5"/>
  <c r="T76" i="5" s="1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S70" i="5"/>
  <c r="O70" i="5"/>
  <c r="N70" i="5"/>
  <c r="Q70" i="5" l="1"/>
  <c r="P70" i="5"/>
  <c r="R70" i="5" l="1"/>
  <c r="T70" i="5" s="1"/>
  <c r="H13" i="5"/>
  <c r="H24" i="5" l="1"/>
  <c r="H23" i="5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47" i="14" l="1"/>
  <c r="O47" i="14"/>
  <c r="N47" i="14"/>
  <c r="S45" i="14"/>
  <c r="O45" i="14"/>
  <c r="N45" i="14"/>
  <c r="S44" i="14"/>
  <c r="O44" i="14"/>
  <c r="N44" i="14"/>
  <c r="S43" i="14"/>
  <c r="O43" i="14"/>
  <c r="N43" i="14"/>
  <c r="S42" i="14"/>
  <c r="O42" i="14"/>
  <c r="N42" i="14"/>
  <c r="S41" i="14"/>
  <c r="O41" i="14"/>
  <c r="N41" i="14"/>
  <c r="S40" i="14"/>
  <c r="O40" i="14"/>
  <c r="N40" i="14"/>
  <c r="S39" i="14"/>
  <c r="O39" i="14"/>
  <c r="N39" i="14"/>
  <c r="S38" i="14"/>
  <c r="O38" i="14"/>
  <c r="N38" i="14"/>
  <c r="S37" i="14"/>
  <c r="O37" i="14"/>
  <c r="N37" i="14"/>
  <c r="S36" i="14"/>
  <c r="O36" i="14"/>
  <c r="N36" i="14"/>
  <c r="S35" i="14"/>
  <c r="O35" i="14"/>
  <c r="N35" i="14"/>
  <c r="S34" i="14"/>
  <c r="O34" i="14"/>
  <c r="N34" i="14"/>
  <c r="S33" i="14"/>
  <c r="O33" i="14"/>
  <c r="N33" i="14"/>
  <c r="S32" i="14"/>
  <c r="O32" i="14"/>
  <c r="N32" i="14"/>
  <c r="S31" i="14"/>
  <c r="O31" i="14"/>
  <c r="N31" i="14"/>
  <c r="S30" i="14"/>
  <c r="O30" i="14"/>
  <c r="N30" i="14"/>
  <c r="S29" i="14"/>
  <c r="O29" i="14"/>
  <c r="N29" i="14"/>
  <c r="S28" i="14"/>
  <c r="O28" i="14"/>
  <c r="N28" i="14"/>
  <c r="S27" i="14"/>
  <c r="O27" i="14"/>
  <c r="N27" i="14"/>
  <c r="S26" i="14"/>
  <c r="O26" i="14"/>
  <c r="N26" i="14"/>
  <c r="S25" i="14"/>
  <c r="O25" i="14"/>
  <c r="N25" i="14"/>
  <c r="S24" i="14"/>
  <c r="O24" i="14"/>
  <c r="N24" i="14"/>
  <c r="S23" i="14"/>
  <c r="O23" i="14"/>
  <c r="N23" i="14"/>
  <c r="S22" i="14"/>
  <c r="O22" i="14"/>
  <c r="N22" i="14"/>
  <c r="S21" i="14"/>
  <c r="O21" i="14"/>
  <c r="N21" i="14"/>
  <c r="S20" i="14"/>
  <c r="O20" i="14"/>
  <c r="N20" i="14"/>
  <c r="S19" i="14"/>
  <c r="O19" i="14"/>
  <c r="N19" i="14"/>
  <c r="S18" i="14"/>
  <c r="O18" i="14"/>
  <c r="N18" i="14"/>
  <c r="S17" i="14"/>
  <c r="O17" i="14"/>
  <c r="N17" i="14"/>
  <c r="S16" i="14"/>
  <c r="O16" i="14"/>
  <c r="N16" i="14"/>
  <c r="S15" i="14"/>
  <c r="O15" i="14"/>
  <c r="N15" i="14"/>
  <c r="S14" i="14"/>
  <c r="O14" i="14"/>
  <c r="N14" i="14"/>
  <c r="S13" i="14"/>
  <c r="O13" i="14"/>
  <c r="N13" i="14"/>
  <c r="S12" i="14"/>
  <c r="O12" i="14"/>
  <c r="N12" i="14"/>
  <c r="S11" i="14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Q27" i="14"/>
  <c r="Q43" i="14"/>
  <c r="P11" i="14"/>
  <c r="R11" i="14" s="1"/>
  <c r="T11" i="14" s="1"/>
  <c r="P28" i="14"/>
  <c r="Q44" i="14"/>
  <c r="P47" i="14"/>
  <c r="Q47" i="14"/>
  <c r="Q21" i="14"/>
  <c r="P37" i="14"/>
  <c r="Q16" i="14"/>
  <c r="Q28" i="14"/>
  <c r="P31" i="14"/>
  <c r="Q29" i="14"/>
  <c r="P40" i="14"/>
  <c r="P25" i="14"/>
  <c r="Q30" i="14"/>
  <c r="Q38" i="14"/>
  <c r="Q26" i="14"/>
  <c r="Q36" i="14"/>
  <c r="Q14" i="14"/>
  <c r="P21" i="14"/>
  <c r="Q24" i="14"/>
  <c r="Q31" i="14"/>
  <c r="P34" i="14"/>
  <c r="Q12" i="14"/>
  <c r="P14" i="14"/>
  <c r="P17" i="14"/>
  <c r="Q32" i="14"/>
  <c r="Q20" i="14"/>
  <c r="Q18" i="14"/>
  <c r="P23" i="14"/>
  <c r="Q33" i="14"/>
  <c r="Q41" i="14"/>
  <c r="P43" i="14"/>
  <c r="Q13" i="14"/>
  <c r="Q15" i="14"/>
  <c r="P20" i="14"/>
  <c r="Q22" i="14"/>
  <c r="P29" i="14"/>
  <c r="Q45" i="14"/>
  <c r="Q34" i="14"/>
  <c r="Q39" i="14"/>
  <c r="P19" i="14"/>
  <c r="Q23" i="14"/>
  <c r="P26" i="14"/>
  <c r="Q35" i="14"/>
  <c r="Q37" i="14"/>
  <c r="Q40" i="14"/>
  <c r="Q42" i="14"/>
  <c r="P44" i="14"/>
  <c r="Q17" i="14"/>
  <c r="P16" i="14"/>
  <c r="P22" i="14"/>
  <c r="Q19" i="14"/>
  <c r="Q25" i="14"/>
  <c r="P36" i="14"/>
  <c r="P39" i="14"/>
  <c r="P42" i="14"/>
  <c r="P45" i="14"/>
  <c r="P13" i="14"/>
  <c r="P24" i="14"/>
  <c r="P27" i="14"/>
  <c r="P30" i="14"/>
  <c r="P33" i="14"/>
  <c r="P12" i="14"/>
  <c r="P15" i="14"/>
  <c r="P18" i="14"/>
  <c r="P32" i="14"/>
  <c r="P35" i="14"/>
  <c r="P38" i="14"/>
  <c r="P4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P52" i="13"/>
  <c r="R27" i="14"/>
  <c r="T27" i="14" s="1"/>
  <c r="P51" i="13"/>
  <c r="Q55" i="13"/>
  <c r="Q32" i="13"/>
  <c r="Q44" i="13"/>
  <c r="Q48" i="13"/>
  <c r="R43" i="14"/>
  <c r="T43" i="14" s="1"/>
  <c r="P54" i="13"/>
  <c r="Q56" i="13"/>
  <c r="R56" i="13" s="1"/>
  <c r="T56" i="13" s="1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R16" i="14"/>
  <c r="T16" i="14" s="1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R52" i="13" s="1"/>
  <c r="T52" i="13" s="1"/>
  <c r="P57" i="13"/>
  <c r="Q59" i="13"/>
  <c r="R59" i="13" s="1"/>
  <c r="T59" i="13" s="1"/>
  <c r="Q53" i="13"/>
  <c r="Q19" i="13"/>
  <c r="Q14" i="13"/>
  <c r="R44" i="14"/>
  <c r="T44" i="14" s="1"/>
  <c r="R20" i="14"/>
  <c r="T20" i="14" s="1"/>
  <c r="R28" i="14"/>
  <c r="T28" i="14" s="1"/>
  <c r="R23" i="14"/>
  <c r="T23" i="14" s="1"/>
  <c r="R47" i="14"/>
  <c r="T47" i="14" s="1"/>
  <c r="R21" i="14"/>
  <c r="T21" i="14" s="1"/>
  <c r="R25" i="14"/>
  <c r="T25" i="14" s="1"/>
  <c r="R37" i="14"/>
  <c r="T37" i="14" s="1"/>
  <c r="R34" i="14"/>
  <c r="T34" i="14" s="1"/>
  <c r="R31" i="14"/>
  <c r="T31" i="14" s="1"/>
  <c r="R13" i="14"/>
  <c r="T13" i="14" s="1"/>
  <c r="R38" i="14"/>
  <c r="T38" i="14" s="1"/>
  <c r="R30" i="14"/>
  <c r="T30" i="14" s="1"/>
  <c r="R40" i="14"/>
  <c r="T40" i="14" s="1"/>
  <c r="R14" i="14"/>
  <c r="T14" i="14" s="1"/>
  <c r="R24" i="14"/>
  <c r="T24" i="14" s="1"/>
  <c r="R18" i="14"/>
  <c r="T18" i="14" s="1"/>
  <c r="R17" i="14"/>
  <c r="T17" i="14" s="1"/>
  <c r="R12" i="14"/>
  <c r="T12" i="14" s="1"/>
  <c r="R29" i="14"/>
  <c r="T29" i="14" s="1"/>
  <c r="R41" i="14"/>
  <c r="T41" i="14" s="1"/>
  <c r="R33" i="14"/>
  <c r="T33" i="14" s="1"/>
  <c r="R36" i="14"/>
  <c r="T36" i="14" s="1"/>
  <c r="R22" i="14"/>
  <c r="T22" i="14" s="1"/>
  <c r="R32" i="14"/>
  <c r="T32" i="14" s="1"/>
  <c r="R45" i="14"/>
  <c r="T45" i="14" s="1"/>
  <c r="R19" i="14"/>
  <c r="T19" i="14" s="1"/>
  <c r="R42" i="14"/>
  <c r="T42" i="14" s="1"/>
  <c r="R26" i="14"/>
  <c r="T26" i="14" s="1"/>
  <c r="R35" i="14"/>
  <c r="T35" i="14" s="1"/>
  <c r="R15" i="14"/>
  <c r="T15" i="14" s="1"/>
  <c r="R39" i="14"/>
  <c r="T39" i="14" s="1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T60" i="14" l="1"/>
  <c r="D15" i="6" s="1"/>
  <c r="E15" i="6" s="1"/>
  <c r="R49" i="13"/>
  <c r="T4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2" i="12" l="1"/>
  <c r="D13" i="6" s="1"/>
  <c r="E13" i="6" s="1"/>
  <c r="O62" i="11" l="1"/>
  <c r="S62" i="11"/>
  <c r="N61" i="11"/>
  <c r="S60" i="11"/>
  <c r="O59" i="11"/>
  <c r="O58" i="1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A59" i="5"/>
  <c r="Q11" i="11" l="1"/>
  <c r="P11" i="11"/>
  <c r="R11" i="11" s="1"/>
  <c r="T11" i="11" s="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44" i="11" l="1"/>
  <c r="T44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R64" i="4" s="1"/>
  <c r="T64" i="4" s="1"/>
  <c r="N61" i="4"/>
  <c r="S16" i="4"/>
  <c r="S15" i="4"/>
  <c r="R63" i="4" l="1"/>
  <c r="T63" i="4" s="1"/>
  <c r="R62" i="4"/>
  <c r="T62" i="4" s="1"/>
  <c r="Q61" i="4"/>
  <c r="P61" i="4"/>
  <c r="R61" i="4" l="1"/>
  <c r="T61" i="4" s="1"/>
  <c r="S67" i="5" l="1"/>
  <c r="S59" i="4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N67" i="5"/>
  <c r="O67" i="5"/>
  <c r="Q58" i="4" l="1"/>
  <c r="P58" i="4"/>
  <c r="Q13" i="4"/>
  <c r="P13" i="4"/>
  <c r="P67" i="5"/>
  <c r="Q67" i="5"/>
  <c r="R67" i="5" s="1"/>
  <c r="T67" i="5" s="1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A60" i="5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2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<sst xmlns="http://schemas.openxmlformats.org/spreadsheetml/2006/main" count="1433" uniqueCount="472">
  <si>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</si>
  <si>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</si>
  <si>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</si>
  <si>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</si>
  <si>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</si>
  <si>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</si>
  <si>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</si>
  <si>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</si>
  <si>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</si>
  <si>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</si>
  <si>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</si>
  <si>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</si>
  <si>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</si>
  <si>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</si>
  <si>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</si>
  <si>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</si>
  <si>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</si>
  <si>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</si>
  <si>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</si>
  <si>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</si>
  <si>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</si>
  <si>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</si>
  <si>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</si>
  <si>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</si>
  <si>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</si>
  <si>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</si>
  <si>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</si>
  <si>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</si>
  <si>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</si>
  <si>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</si>
  <si>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</si>
  <si>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</si>
  <si>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</si>
  <si>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</si>
  <si>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</si>
  <si>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</si>
  <si>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</si>
  <si>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</si>
  <si>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</si>
  <si>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</si>
  <si>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</si>
  <si>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</si>
  <si>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</si>
  <si>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</si>
  <si>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</si>
  <si>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</si>
  <si>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</si>
  <si>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</si>
  <si>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</si>
  <si>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</si>
  <si>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</si>
  <si>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</si>
  <si>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</si>
  <si>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</si>
  <si>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</si>
  <si>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</si>
  <si>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</si>
  <si>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</si>
  <si>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</si>
  <si>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</si>
  <si>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</si>
  <si>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</si>
  <si>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</si>
  <si>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</si>
  <si>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</si>
  <si>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</si>
  <si>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</si>
  <si>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</si>
  <si>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</si>
  <si>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</si>
  <si>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</si>
  <si>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</si>
  <si>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</si>
  <si>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</si>
  <si>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</si>
  <si>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</si>
  <si>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</si>
  <si>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</si>
  <si>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</si>
  <si>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</si>
  <si>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</si>
  <si>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</si>
  <si>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</si>
  <si>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</si>
  <si>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</si>
  <si>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</si>
  <si>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</si>
  <si>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</si>
  <si>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</si>
  <si>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</si>
  <si>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</si>
  <si>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</si>
  <si>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</si>
  <si>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</si>
  <si>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</si>
  <si>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</si>
  <si>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</si>
  <si>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</si>
  <si>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</si>
  <si>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</si>
  <si>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</si>
  <si>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</si>
  <si>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</si>
  <si>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</si>
  <si>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</si>
  <si>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</si>
  <si>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</si>
  <si>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</si>
  <si>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</si>
  <si>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</si>
  <si>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</si>
  <si>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</si>
  <si>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</si>
  <si>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</si>
  <si>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</si>
  <si>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</si>
  <si>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</si>
  <si>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</si>
  <si>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</si>
  <si>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</si>
  <si>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</si>
  <si>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</si>
  <si>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</si>
  <si>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</si>
  <si>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</si>
  <si>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</si>
  <si>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</si>
  <si>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</si>
  <si>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</si>
  <si>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</si>
  <si>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</si>
  <si>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</si>
  <si>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</si>
  <si>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</si>
  <si>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</si>
  <si>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</si>
  <si>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</si>
  <si>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</si>
  <si>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</si>
  <si>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</si>
  <si>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</si>
  <si>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</si>
  <si>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</si>
  <si>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</si>
  <si>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</si>
  <si>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</si>
  <si>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</si>
  <si>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</si>
  <si>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</si>
  <si>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</si>
  <si>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</si>
  <si>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</si>
  <si>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</si>
  <si>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</si>
  <si>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</si>
  <si>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</si>
  <si>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</si>
  <si>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</si>
  <si>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</si>
  <si>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</si>
  <si>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</si>
  <si>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</si>
  <si>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</si>
  <si>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</si>
  <si>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</si>
  <si>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</si>
  <si>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</si>
  <si>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</si>
  <si>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</si>
  <si>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</si>
  <si>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</si>
  <si>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</si>
  <si>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</si>
  <si>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</si>
  <si>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</si>
  <si>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</si>
  <si>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</si>
  <si>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</si>
  <si>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</si>
  <si>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</si>
  <si>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</si>
  <si>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</si>
  <si>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</si>
  <si>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</si>
  <si>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</si>
  <si>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</si>
  <si>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</si>
  <si>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</si>
  <si>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</si>
  <si>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</si>
  <si>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</si>
  <si>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</si>
  <si>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</si>
  <si>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</si>
  <si>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</si>
  <si>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</si>
  <si>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</si>
  <si>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</si>
  <si>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</si>
  <si>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</si>
  <si>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</si>
  <si>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</si>
  <si>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</si>
  <si>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</si>
  <si>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</si>
  <si>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</si>
  <si>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</si>
  <si>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Empresa 2 (BBB)
(D)</t>
  </si>
  <si>
    <t>Empresa 3 (CCC)
(E)</t>
  </si>
  <si>
    <t>Empresa 4 (DDD)
(F)</t>
  </si>
  <si>
    <t>Empresa 5 (EEE)
(G)</t>
  </si>
  <si>
    <t>Emprea 2 (BBB)
(D)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</si>
  <si>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</si>
  <si>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</si>
  <si>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</si>
  <si>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</si>
  <si>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</si>
  <si>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</si>
  <si>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</si>
  <si>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</si>
  <si>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</si>
  <si>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</si>
  <si>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</si>
  <si>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</si>
  <si>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</si>
  <si>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</si>
  <si>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</si>
  <si>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</si>
  <si>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</si>
  <si>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</si>
  <si>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</si>
  <si>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</si>
  <si>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</si>
  <si>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</si>
  <si>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</si>
  <si>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</si>
  <si>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</si>
  <si>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</si>
  <si>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</si>
  <si>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</si>
  <si>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</si>
  <si>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</si>
  <si>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</si>
  <si>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</si>
  <si>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</si>
  <si>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</si>
  <si>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</si>
  <si>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</si>
  <si>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</si>
  <si>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</si>
  <si>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</si>
  <si>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</si>
  <si>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</si>
  <si>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</si>
  <si>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</si>
  <si>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</si>
  <si>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</si>
  <si>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</si>
  <si>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</si>
  <si>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</si>
  <si>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</si>
  <si>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</si>
  <si>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</si>
  <si>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</si>
  <si>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</si>
  <si>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</si>
  <si>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</si>
  <si>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</si>
  <si>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</si>
  <si>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</si>
  <si>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</si>
  <si>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</si>
  <si>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</si>
  <si>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</si>
  <si>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</si>
  <si>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</si>
  <si>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</si>
  <si>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</si>
  <si>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</si>
  <si>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</si>
  <si>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</si>
  <si>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</si>
  <si>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</si>
  <si>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</si>
  <si>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</si>
  <si>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</si>
  <si>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</si>
  <si>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</si>
  <si>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</si>
  <si>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</si>
  <si>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</si>
  <si>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</si>
  <si>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</si>
  <si>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</si>
  <si>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</si>
  <si>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</si>
  <si>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</si>
  <si>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</si>
  <si>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</si>
  <si>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</si>
  <si>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</si>
  <si>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</si>
  <si>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</si>
  <si>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</si>
  <si>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</si>
  <si>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</si>
  <si>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</si>
  <si>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</si>
  <si>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</si>
  <si>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</si>
  <si>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</si>
  <si>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</si>
  <si>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</si>
  <si>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</si>
  <si>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</si>
  <si>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</si>
  <si>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</si>
  <si>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</si>
  <si>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</si>
  <si>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</si>
  <si>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</si>
  <si>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</si>
  <si>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</si>
  <si>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</si>
  <si>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</si>
  <si>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</si>
  <si>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</si>
  <si>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</si>
  <si>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</si>
  <si>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</si>
  <si>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</si>
  <si>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</si>
  <si>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</si>
  <si>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</si>
  <si>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</si>
  <si>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</si>
  <si>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</si>
  <si>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</si>
  <si>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</si>
  <si>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</si>
  <si>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</si>
  <si>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</si>
  <si>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</si>
  <si>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</si>
  <si>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</si>
  <si>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</si>
  <si>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</si>
  <si>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</si>
  <si>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</si>
  <si>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</si>
  <si>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</si>
  <si>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</si>
  <si>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</si>
  <si>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</si>
  <si>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</si>
  <si>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</si>
  <si>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</si>
  <si>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</si>
  <si>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</si>
  <si>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</si>
  <si>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</si>
  <si>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</si>
  <si>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</si>
  <si>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</si>
  <si>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</si>
  <si>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</si>
  <si>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</si>
  <si>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</si>
  <si>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</si>
  <si>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</si>
  <si>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</si>
  <si>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</si>
  <si>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</si>
  <si>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</si>
  <si>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</si>
  <si>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</si>
  <si>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</si>
  <si>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</si>
  <si>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</si>
  <si>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</si>
  <si>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</si>
  <si>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</si>
  <si>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</si>
  <si>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</si>
  <si>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</si>
  <si>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</si>
  <si>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</si>
  <si>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</si>
  <si>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</si>
  <si>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</si>
  <si>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</si>
  <si>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</si>
  <si>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</si>
  <si>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</si>
  <si>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r>
      <t>Internet (AAA)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</si>
  <si>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</si>
  <si>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</si>
  <si>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</si>
  <si>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</si>
  <si>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</si>
  <si>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</si>
  <si>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</si>
  <si>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</si>
  <si>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</si>
  <si>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</si>
  <si>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</si>
  <si>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</si>
  <si>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00039469</t>
  </si>
  <si>
    <t>00034653</t>
  </si>
  <si>
    <t>00001379</t>
  </si>
  <si>
    <t>M0082</t>
  </si>
  <si>
    <t>M0005</t>
  </si>
  <si>
    <t>M0945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</si>
  <si>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</si>
  <si>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</si>
  <si>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</si>
  <si>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</si>
  <si>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</si>
  <si>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</si>
  <si>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</si>
  <si>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</si>
  <si>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</si>
  <si>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</si>
  <si>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</si>
  <si>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</si>
  <si>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</si>
  <si>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</si>
  <si>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</si>
  <si>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Internet (AAA)1
(C)</t>
  </si>
  <si>
    <t>00020083</t>
  </si>
  <si>
    <t>11927</t>
  </si>
  <si>
    <t>7130</t>
  </si>
  <si>
    <t>3540</t>
  </si>
  <si>
    <t>6010</t>
  </si>
  <si>
    <t>13184</t>
  </si>
  <si>
    <t>108</t>
  </si>
  <si>
    <t>11674</t>
  </si>
  <si>
    <t>00039258</t>
  </si>
  <si>
    <t>7551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</si>
  <si>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</si>
  <si>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</si>
  <si>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</si>
  <si>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</si>
  <si>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</si>
  <si>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3346</t>
  </si>
  <si>
    <t>Eletroduto corrugado tipo PEAD, 1"</t>
  </si>
  <si>
    <t>9485</t>
  </si>
  <si>
    <t>Abraçadeira tipo D, 1" e cunha de fixação</t>
  </si>
  <si>
    <t>00002483</t>
  </si>
  <si>
    <t>Conector reto com arruela para eletroduto 1"</t>
  </si>
  <si>
    <t>3304</t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</si>
  <si>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</si>
  <si>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t>29 e 35</t>
  </si>
  <si>
    <t>30 e 36</t>
  </si>
  <si>
    <t>31 e 37</t>
  </si>
  <si>
    <t>32 e 38</t>
  </si>
  <si>
    <t>33 e 39</t>
  </si>
  <si>
    <t>34 e 40</t>
  </si>
  <si>
    <t>Sistema de irrigação por aspersão, malha fixa, com abrigo para o conjunto 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</si>
  <si>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</si>
  <si>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fixo, com sistema de filtragem, abrigo para o conjunto motobomba e capacidade para irrigar área de 0,50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</si>
  <si>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</si>
  <si>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</si>
  <si>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Minikit de irrigação com capacidade para 600 m² de horta, 1.260 m2 de culturas temporárias ou 5.400 m2 de fruticultura, para a tensão nominal de 220V.</t>
  </si>
  <si>
    <t>PLANILHA ORÇAMENTÁRIA-15ª SUPERINTENDÊNCIA REGIONAL (GRUPO 7 E 8) - ANEXO-20</t>
  </si>
  <si>
    <t>PLANILHA ORÇAMENTÁRIA-15ª SUPERINTENDÊNCIA REGIONAL (GRUPO 7 E 8) - ANEXO-21</t>
  </si>
  <si>
    <t>PLANILHA ORÇAMENTÁRIA-15ª SUPERINTENDÊNCIA REGIONAL (GRUPO 7 E 8) - ANEXO-22</t>
  </si>
  <si>
    <t>PLANILHA ORÇAMENTÁRIA-15ª SUPERINTENDÊNCIA REGIONAL (GRUPO 7 E 8) - ANEXO-23</t>
  </si>
  <si>
    <t>PLANILHA ORÇAMENTÁRIA-15ª SUPERINTENDÊNCIA REGIONAL (GRUPO 7 E 8) - ANEXO-24</t>
  </si>
  <si>
    <t>PLANILHA ORÇAMENTÁRIA-15ª SUPERINTENDÊNCIA REGIONAL (GRUPO 7 E 8) - ANEXO-25</t>
  </si>
  <si>
    <t>PLANILHA ORÇAMENTÁRIA-15ª SUPERINTENDÊNCIA REGIONAL (GRUPO 7 E 8) -TOTALIZADOR - ANEXO-26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</si>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</sst>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1266825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1533525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1447800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1152525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1228725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1247775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zoomScale="140" zoomScaleNormal="352" zoomScaleSheetLayoutView="140" workbookViewId="0"/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96" t="s">
        <v>464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268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</row>
    <row r="8" spans="1:20" ht="16.5" thickBot="1" x14ac:dyDescent="0.3"/>
    <row r="9" spans="1:20" ht="78" customHeight="1" thickBot="1" x14ac:dyDescent="0.3">
      <c r="A9" s="102" t="s">
        <v>0</v>
      </c>
      <c r="B9" s="102" t="s">
        <v>4</v>
      </c>
      <c r="C9" s="102" t="s">
        <v>6</v>
      </c>
      <c r="D9" s="102" t="s">
        <v>1</v>
      </c>
      <c r="E9" s="103" t="s">
        <v>9</v>
      </c>
      <c r="F9" s="98" t="s">
        <v>277</v>
      </c>
      <c r="G9" s="104"/>
      <c r="H9" s="104"/>
      <c r="I9" s="98" t="s">
        <v>25</v>
      </c>
      <c r="J9" s="98"/>
      <c r="K9" s="98"/>
      <c r="L9" s="98"/>
      <c r="M9" s="98"/>
      <c r="N9" s="98" t="s">
        <v>10</v>
      </c>
      <c r="O9" s="98" t="s">
        <v>11</v>
      </c>
      <c r="P9" s="98" t="s">
        <v>12</v>
      </c>
      <c r="Q9" s="98" t="s">
        <v>13</v>
      </c>
      <c r="R9" s="98" t="s">
        <v>16</v>
      </c>
      <c r="S9" s="105" t="s">
        <v>26</v>
      </c>
      <c r="T9" s="98" t="s">
        <v>27</v>
      </c>
    </row>
    <row r="10" spans="1:20" ht="80.25" customHeight="1" thickBot="1" x14ac:dyDescent="0.3">
      <c r="A10" s="102"/>
      <c r="B10" s="102"/>
      <c r="C10" s="102"/>
      <c r="D10" s="102"/>
      <c r="E10" s="102"/>
      <c r="F10" s="33" t="s">
        <v>5</v>
      </c>
      <c r="G10" s="33" t="s">
        <v>278</v>
      </c>
      <c r="H10" s="31" t="s">
        <v>8</v>
      </c>
      <c r="I10" s="91" t="s">
        <v>394</v>
      </c>
      <c r="J10" s="35" t="s">
        <v>207</v>
      </c>
      <c r="K10" s="35" t="s">
        <v>208</v>
      </c>
      <c r="L10" s="35" t="s">
        <v>209</v>
      </c>
      <c r="M10" s="35" t="s">
        <v>210</v>
      </c>
      <c r="N10" s="98"/>
      <c r="O10" s="98"/>
      <c r="P10" s="98"/>
      <c r="Q10" s="98"/>
      <c r="R10" s="98"/>
      <c r="S10" s="106"/>
      <c r="T10" s="98"/>
    </row>
    <row r="11" spans="1:20" ht="16.5" thickBot="1" x14ac:dyDescent="0.3">
      <c r="A11" s="99" t="s">
        <v>28</v>
      </c>
      <c r="B11" s="100"/>
      <c r="C11" s="100"/>
      <c r="D11" s="100"/>
      <c r="E11" s="101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99" t="s">
        <v>29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1"/>
    </row>
    <row r="13" spans="1:20" ht="24" customHeight="1" thickBot="1" x14ac:dyDescent="0.3">
      <c r="A13" s="21" t="s">
        <v>30</v>
      </c>
      <c r="B13" s="81" t="s">
        <v>279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280</v>
      </c>
      <c r="C14" s="23" t="s">
        <v>38</v>
      </c>
      <c r="D14" s="21" t="s">
        <v>39</v>
      </c>
      <c r="E14" s="21">
        <v>1</v>
      </c>
      <c r="F14" s="22">
        <v>210.11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210.11</v>
      </c>
      <c r="S14" s="20">
        <f t="shared" ref="S14:S59" si="5">IF(F14&gt;0,F14,IF(G14&gt;0,G14,IF(H14&gt;0,H14,MEDIAN(I14:M14))))</f>
        <v>210.11</v>
      </c>
      <c r="T14" s="15">
        <f t="shared" ref="T14:T59" si="6">IF(R14&gt;S14,S14*E14,R14*E14)</f>
        <v>210.11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3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281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22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282</v>
      </c>
      <c r="C17" s="18" t="s">
        <v>43</v>
      </c>
      <c r="D17" s="21" t="s">
        <v>39</v>
      </c>
      <c r="E17" s="24">
        <v>1</v>
      </c>
      <c r="F17" s="25">
        <v>25.15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25.15</v>
      </c>
      <c r="S17" s="20">
        <f t="shared" si="5"/>
        <v>25.15</v>
      </c>
      <c r="T17" s="15">
        <f t="shared" si="6"/>
        <v>25.15</v>
      </c>
    </row>
    <row r="18" spans="1:20" ht="24.75" customHeight="1" thickBot="1" x14ac:dyDescent="0.3">
      <c r="A18" s="21" t="s">
        <v>34</v>
      </c>
      <c r="B18" s="81" t="s">
        <v>283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284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99" t="s">
        <v>46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1"/>
    </row>
    <row r="21" spans="1:20" ht="38.25" customHeight="1" thickBot="1" x14ac:dyDescent="0.3">
      <c r="A21" s="21" t="s">
        <v>47</v>
      </c>
      <c r="B21" s="81" t="s">
        <v>64</v>
      </c>
      <c r="C21" s="18" t="s">
        <v>65</v>
      </c>
      <c r="D21" s="21" t="s">
        <v>39</v>
      </c>
      <c r="E21" s="21">
        <v>1</v>
      </c>
      <c r="F21" s="22"/>
      <c r="G21" s="22"/>
      <c r="H21" s="22"/>
      <c r="I21" s="93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285</v>
      </c>
      <c r="C22" s="18" t="s">
        <v>66</v>
      </c>
      <c r="D22" s="21" t="s">
        <v>39</v>
      </c>
      <c r="E22" s="21">
        <v>1</v>
      </c>
      <c r="F22" s="22">
        <v>100.6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100.6</v>
      </c>
      <c r="S22" s="20">
        <f t="shared" si="5"/>
        <v>100.6</v>
      </c>
      <c r="T22" s="20">
        <f t="shared" si="6"/>
        <v>100.6</v>
      </c>
    </row>
    <row r="23" spans="1:20" ht="24.75" customHeight="1" thickBot="1" x14ac:dyDescent="0.3">
      <c r="A23" s="13" t="s">
        <v>49</v>
      </c>
      <c r="B23" s="81" t="s">
        <v>286</v>
      </c>
      <c r="C23" s="18" t="s">
        <v>67</v>
      </c>
      <c r="D23" s="21" t="s">
        <v>39</v>
      </c>
      <c r="E23" s="21">
        <v>1</v>
      </c>
      <c r="F23" s="22">
        <v>16.63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16.63</v>
      </c>
      <c r="S23" s="20">
        <f t="shared" si="5"/>
        <v>16.63</v>
      </c>
      <c r="T23" s="20">
        <f t="shared" si="6"/>
        <v>16.63</v>
      </c>
    </row>
    <row r="24" spans="1:20" ht="27" customHeight="1" thickBot="1" x14ac:dyDescent="0.3">
      <c r="A24" s="13" t="s">
        <v>50</v>
      </c>
      <c r="B24" s="81" t="s">
        <v>282</v>
      </c>
      <c r="C24" s="18" t="s">
        <v>43</v>
      </c>
      <c r="D24" s="21" t="s">
        <v>39</v>
      </c>
      <c r="E24" s="64">
        <v>1</v>
      </c>
      <c r="F24" s="22">
        <v>25.15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25.15</v>
      </c>
      <c r="S24" s="20">
        <f t="shared" si="5"/>
        <v>25.15</v>
      </c>
      <c r="T24" s="20">
        <f t="shared" si="6"/>
        <v>25.15</v>
      </c>
    </row>
    <row r="25" spans="1:20" ht="24.75" customHeight="1" thickBot="1" x14ac:dyDescent="0.3">
      <c r="A25" s="13" t="s">
        <v>51</v>
      </c>
      <c r="B25" s="81" t="s">
        <v>287</v>
      </c>
      <c r="C25" s="83" t="s">
        <v>68</v>
      </c>
      <c r="D25" s="21" t="s">
        <v>39</v>
      </c>
      <c r="E25" s="65">
        <v>1</v>
      </c>
      <c r="F25" s="22">
        <v>54.67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54.67</v>
      </c>
      <c r="S25" s="20">
        <f t="shared" si="5"/>
        <v>54.67</v>
      </c>
      <c r="T25" s="20">
        <f t="shared" si="6"/>
        <v>54.67</v>
      </c>
    </row>
    <row r="26" spans="1:20" s="6" customFormat="1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4">
        <v>2.75</v>
      </c>
      <c r="J26" s="22"/>
      <c r="K26" s="20"/>
      <c r="L26" s="20"/>
      <c r="M26" s="20"/>
      <c r="N26" s="20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20">
        <f t="shared" si="2"/>
        <v>2.75</v>
      </c>
      <c r="S26" s="20">
        <f t="shared" si="5"/>
        <v>2.75</v>
      </c>
      <c r="T26" s="20">
        <f t="shared" si="6"/>
        <v>5.5</v>
      </c>
    </row>
    <row r="27" spans="1:20" ht="21" customHeight="1" thickBot="1" x14ac:dyDescent="0.3">
      <c r="A27" s="13" t="s">
        <v>53</v>
      </c>
      <c r="B27" s="81" t="s">
        <v>288</v>
      </c>
      <c r="C27" s="18" t="s">
        <v>69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289</v>
      </c>
      <c r="C28" s="18" t="s">
        <v>70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290</v>
      </c>
      <c r="C29" s="18" t="s">
        <v>71</v>
      </c>
      <c r="D29" s="21" t="s">
        <v>39</v>
      </c>
      <c r="E29" s="21">
        <v>1</v>
      </c>
      <c r="F29" s="22">
        <v>1.07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1.07</v>
      </c>
      <c r="S29" s="20">
        <f t="shared" si="5"/>
        <v>1.07</v>
      </c>
      <c r="T29" s="15">
        <f t="shared" si="6"/>
        <v>1.07</v>
      </c>
    </row>
    <row r="30" spans="1:20" ht="25.5" customHeight="1" thickBot="1" x14ac:dyDescent="0.3">
      <c r="A30" s="13" t="s">
        <v>56</v>
      </c>
      <c r="B30" s="81" t="s">
        <v>291</v>
      </c>
      <c r="C30" s="18" t="s">
        <v>72</v>
      </c>
      <c r="D30" s="21" t="s">
        <v>39</v>
      </c>
      <c r="E30" s="21">
        <v>1</v>
      </c>
      <c r="F30" s="22">
        <v>6.4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6.4</v>
      </c>
      <c r="S30" s="20">
        <f t="shared" si="5"/>
        <v>6.4</v>
      </c>
      <c r="T30" s="15">
        <f t="shared" si="6"/>
        <v>6.4</v>
      </c>
    </row>
    <row r="31" spans="1:20" ht="26.25" customHeight="1" thickBot="1" x14ac:dyDescent="0.3">
      <c r="A31" s="13" t="s">
        <v>57</v>
      </c>
      <c r="B31" s="81" t="s">
        <v>292</v>
      </c>
      <c r="C31" s="18" t="s">
        <v>73</v>
      </c>
      <c r="D31" s="21" t="s">
        <v>39</v>
      </c>
      <c r="E31" s="21">
        <v>1</v>
      </c>
      <c r="F31" s="22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s="6" customFormat="1" ht="21.75" customHeight="1" thickBot="1" x14ac:dyDescent="0.3">
      <c r="A32" s="21" t="s">
        <v>58</v>
      </c>
      <c r="B32" s="81" t="s">
        <v>74</v>
      </c>
      <c r="C32" s="18" t="s">
        <v>75</v>
      </c>
      <c r="D32" s="21" t="s">
        <v>39</v>
      </c>
      <c r="E32" s="21">
        <v>1</v>
      </c>
      <c r="F32" s="22"/>
      <c r="G32" s="22"/>
      <c r="H32" s="22">
        <v>59.77</v>
      </c>
      <c r="I32" s="94">
        <v>26.6</v>
      </c>
      <c r="J32" s="22"/>
      <c r="K32" s="20"/>
      <c r="L32" s="20"/>
      <c r="M32" s="20"/>
      <c r="N32" s="20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20">
        <f t="shared" si="2"/>
        <v>59.77</v>
      </c>
      <c r="S32" s="20">
        <f t="shared" si="5"/>
        <v>59.77</v>
      </c>
      <c r="T32" s="20">
        <f t="shared" si="6"/>
        <v>59.77</v>
      </c>
    </row>
    <row r="33" spans="1:20" ht="37.5" customHeight="1" thickBot="1" x14ac:dyDescent="0.3">
      <c r="A33" s="13" t="s">
        <v>59</v>
      </c>
      <c r="B33" s="81" t="s">
        <v>293</v>
      </c>
      <c r="C33" s="18" t="s">
        <v>76</v>
      </c>
      <c r="D33" s="21" t="s">
        <v>37</v>
      </c>
      <c r="E33" s="21">
        <v>75</v>
      </c>
      <c r="F33" s="22">
        <v>2.09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2.09</v>
      </c>
      <c r="S33" s="20">
        <f t="shared" si="5"/>
        <v>2.09</v>
      </c>
      <c r="T33" s="15">
        <f t="shared" si="6"/>
        <v>156.75</v>
      </c>
    </row>
    <row r="34" spans="1:20" ht="24" customHeight="1" thickBot="1" x14ac:dyDescent="0.3">
      <c r="A34" s="13" t="s">
        <v>60</v>
      </c>
      <c r="B34" s="81" t="s">
        <v>294</v>
      </c>
      <c r="C34" s="18" t="s">
        <v>77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295</v>
      </c>
      <c r="C35" s="18" t="s">
        <v>78</v>
      </c>
      <c r="D35" s="21" t="s">
        <v>39</v>
      </c>
      <c r="E35" s="21">
        <v>1</v>
      </c>
      <c r="F35" s="22">
        <v>10.77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10.77</v>
      </c>
      <c r="S35" s="20">
        <f t="shared" si="5"/>
        <v>10.77</v>
      </c>
      <c r="T35" s="15">
        <f t="shared" si="6"/>
        <v>10.77</v>
      </c>
    </row>
    <row r="36" spans="1:20" ht="25.5" customHeight="1" thickBot="1" x14ac:dyDescent="0.3">
      <c r="A36" s="13" t="s">
        <v>62</v>
      </c>
      <c r="B36" s="81" t="s">
        <v>296</v>
      </c>
      <c r="C36" s="18" t="s">
        <v>79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99" t="s">
        <v>63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1"/>
    </row>
    <row r="38" spans="1:20" ht="25.5" customHeight="1" thickBot="1" x14ac:dyDescent="0.3">
      <c r="A38" s="13" t="s">
        <v>80</v>
      </c>
      <c r="B38" s="81" t="s">
        <v>279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81</v>
      </c>
      <c r="B39" s="81" t="s">
        <v>297</v>
      </c>
      <c r="C39" s="18" t="s">
        <v>102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99" t="s">
        <v>82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1"/>
    </row>
    <row r="41" spans="1:20" ht="28.5" customHeight="1" thickBot="1" x14ac:dyDescent="0.3">
      <c r="A41" s="13" t="s">
        <v>83</v>
      </c>
      <c r="B41" s="81" t="s">
        <v>279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84</v>
      </c>
      <c r="B42" s="81" t="s">
        <v>281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85</v>
      </c>
      <c r="B43" s="81" t="s">
        <v>287</v>
      </c>
      <c r="C43" s="18" t="s">
        <v>68</v>
      </c>
      <c r="D43" s="21" t="s">
        <v>39</v>
      </c>
      <c r="E43" s="21">
        <v>5</v>
      </c>
      <c r="F43" s="22">
        <v>54.67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54.67</v>
      </c>
      <c r="S43" s="20">
        <f t="shared" si="5"/>
        <v>54.67</v>
      </c>
      <c r="T43" s="15">
        <f t="shared" si="6"/>
        <v>273.35000000000002</v>
      </c>
    </row>
    <row r="44" spans="1:20" ht="27" customHeight="1" thickBot="1" x14ac:dyDescent="0.3">
      <c r="A44" s="13" t="s">
        <v>86</v>
      </c>
      <c r="B44" s="81" t="s">
        <v>298</v>
      </c>
      <c r="C44" s="18" t="s">
        <v>103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87</v>
      </c>
      <c r="B45" s="81" t="s">
        <v>299</v>
      </c>
      <c r="C45" s="18" t="s">
        <v>104</v>
      </c>
      <c r="D45" s="21" t="s">
        <v>39</v>
      </c>
      <c r="E45" s="21">
        <v>10</v>
      </c>
      <c r="F45" s="22">
        <v>5.66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5.66</v>
      </c>
      <c r="S45" s="20">
        <f t="shared" si="5"/>
        <v>5.66</v>
      </c>
      <c r="T45" s="15">
        <f t="shared" si="6"/>
        <v>56.6</v>
      </c>
    </row>
    <row r="46" spans="1:20" s="6" customFormat="1" ht="24" customHeight="1" thickBot="1" x14ac:dyDescent="0.3">
      <c r="A46" s="21" t="s">
        <v>88</v>
      </c>
      <c r="B46" s="81" t="s">
        <v>105</v>
      </c>
      <c r="C46" s="18" t="s">
        <v>106</v>
      </c>
      <c r="D46" s="21" t="s">
        <v>39</v>
      </c>
      <c r="E46" s="21">
        <v>5</v>
      </c>
      <c r="F46" s="22">
        <v>1.38</v>
      </c>
      <c r="G46" s="22"/>
      <c r="H46" s="22"/>
      <c r="I46" s="94">
        <v>1.28</v>
      </c>
      <c r="J46" s="22"/>
      <c r="K46" s="20"/>
      <c r="L46" s="20"/>
      <c r="M46" s="20"/>
      <c r="N46" s="20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20">
        <f t="shared" si="2"/>
        <v>1.38</v>
      </c>
      <c r="S46" s="20">
        <f t="shared" si="5"/>
        <v>1.38</v>
      </c>
      <c r="T46" s="20">
        <f t="shared" si="6"/>
        <v>6.8999999999999995</v>
      </c>
    </row>
    <row r="47" spans="1:20" s="6" customFormat="1" ht="23.25" customHeight="1" thickBot="1" x14ac:dyDescent="0.3">
      <c r="A47" s="21" t="s">
        <v>89</v>
      </c>
      <c r="B47" s="81" t="s">
        <v>74</v>
      </c>
      <c r="C47" s="18" t="s">
        <v>75</v>
      </c>
      <c r="D47" s="21" t="s">
        <v>39</v>
      </c>
      <c r="E47" s="21">
        <v>5</v>
      </c>
      <c r="F47" s="22"/>
      <c r="G47" s="22"/>
      <c r="H47" s="22">
        <v>59.77</v>
      </c>
      <c r="I47" s="94">
        <v>26.6</v>
      </c>
      <c r="J47" s="22"/>
      <c r="K47" s="20"/>
      <c r="L47" s="20"/>
      <c r="M47" s="20"/>
      <c r="N47" s="20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20">
        <f t="shared" ref="R47:R59" si="9">IF(F47&gt;0,F47,IF(G47&gt;0,G47,IF(H47&gt;0,H47,AVERAGEIFS(I47:M47,I47:M47,"&gt;="&amp;Q47,I47:M47,"&lt;="&amp;P47))))</f>
        <v>59.77</v>
      </c>
      <c r="S47" s="20">
        <f t="shared" si="5"/>
        <v>59.77</v>
      </c>
      <c r="T47" s="20">
        <f t="shared" si="6"/>
        <v>298.85000000000002</v>
      </c>
    </row>
    <row r="48" spans="1:20" ht="21.75" customHeight="1" thickBot="1" x14ac:dyDescent="0.3">
      <c r="A48" s="13" t="s">
        <v>90</v>
      </c>
      <c r="B48" s="81" t="s">
        <v>300</v>
      </c>
      <c r="C48" s="18" t="s">
        <v>107</v>
      </c>
      <c r="D48" s="21" t="s">
        <v>39</v>
      </c>
      <c r="E48" s="21">
        <v>10</v>
      </c>
      <c r="F48" s="22">
        <v>9.26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9.26</v>
      </c>
      <c r="S48" s="20">
        <f t="shared" si="5"/>
        <v>9.26</v>
      </c>
      <c r="T48" s="15">
        <f t="shared" si="6"/>
        <v>92.6</v>
      </c>
    </row>
    <row r="49" spans="1:20" ht="24" customHeight="1" thickBot="1" x14ac:dyDescent="0.3">
      <c r="A49" s="13" t="s">
        <v>91</v>
      </c>
      <c r="B49" s="81" t="s">
        <v>301</v>
      </c>
      <c r="C49" s="18" t="s">
        <v>108</v>
      </c>
      <c r="D49" s="21" t="s">
        <v>39</v>
      </c>
      <c r="E49" s="21">
        <v>5</v>
      </c>
      <c r="F49" s="22">
        <v>1.0900000000000001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1.0900000000000001</v>
      </c>
      <c r="S49" s="20">
        <f t="shared" si="5"/>
        <v>1.0900000000000001</v>
      </c>
      <c r="T49" s="15">
        <f t="shared" si="6"/>
        <v>5.45</v>
      </c>
    </row>
    <row r="50" spans="1:20" ht="20.25" customHeight="1" thickBot="1" x14ac:dyDescent="0.3">
      <c r="A50" s="99" t="s">
        <v>92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1"/>
    </row>
    <row r="51" spans="1:20" s="6" customFormat="1" ht="23.25" customHeight="1" thickBot="1" x14ac:dyDescent="0.3">
      <c r="A51" s="21" t="s">
        <v>93</v>
      </c>
      <c r="B51" s="81" t="s">
        <v>109</v>
      </c>
      <c r="C51" s="18" t="s">
        <v>110</v>
      </c>
      <c r="D51" s="21" t="s">
        <v>37</v>
      </c>
      <c r="E51" s="21">
        <v>870</v>
      </c>
      <c r="F51" s="22"/>
      <c r="G51" s="22"/>
      <c r="H51" s="22"/>
      <c r="I51" s="94">
        <f>15.48/6</f>
        <v>2.58</v>
      </c>
      <c r="J51" s="22"/>
      <c r="K51" s="20"/>
      <c r="L51" s="20"/>
      <c r="M51" s="20"/>
      <c r="N51" s="20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20">
        <f t="shared" si="9"/>
        <v>2.58</v>
      </c>
      <c r="S51" s="20">
        <f t="shared" si="5"/>
        <v>2.58</v>
      </c>
      <c r="T51" s="20">
        <f t="shared" si="6"/>
        <v>2244.6</v>
      </c>
    </row>
    <row r="52" spans="1:20" ht="20.25" customHeight="1" thickBot="1" x14ac:dyDescent="0.3">
      <c r="A52" s="13" t="s">
        <v>94</v>
      </c>
      <c r="B52" s="81" t="s">
        <v>301</v>
      </c>
      <c r="C52" s="18" t="s">
        <v>108</v>
      </c>
      <c r="D52" s="21" t="s">
        <v>39</v>
      </c>
      <c r="E52" s="21">
        <v>50</v>
      </c>
      <c r="F52" s="22">
        <v>1.0900000000000001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1.0900000000000001</v>
      </c>
      <c r="S52" s="20">
        <f t="shared" si="5"/>
        <v>1.0900000000000001</v>
      </c>
      <c r="T52" s="15">
        <f t="shared" si="6"/>
        <v>54.500000000000007</v>
      </c>
    </row>
    <row r="53" spans="1:20" ht="23.25" customHeight="1" thickBot="1" x14ac:dyDescent="0.3">
      <c r="A53" s="13" t="s">
        <v>95</v>
      </c>
      <c r="B53" s="81" t="s">
        <v>302</v>
      </c>
      <c r="C53" s="18" t="s">
        <v>111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96</v>
      </c>
      <c r="B54" s="81" t="s">
        <v>303</v>
      </c>
      <c r="C54" s="18" t="s">
        <v>112</v>
      </c>
      <c r="D54" s="21" t="s">
        <v>39</v>
      </c>
      <c r="E54" s="21">
        <v>70</v>
      </c>
      <c r="F54" s="22">
        <v>0.81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0.81</v>
      </c>
      <c r="S54" s="20">
        <f t="shared" si="5"/>
        <v>0.81</v>
      </c>
      <c r="T54" s="15">
        <f t="shared" si="6"/>
        <v>56.7</v>
      </c>
    </row>
    <row r="55" spans="1:20" s="6" customFormat="1" ht="36.75" customHeight="1" thickBot="1" x14ac:dyDescent="0.3">
      <c r="A55" s="21" t="s">
        <v>97</v>
      </c>
      <c r="B55" s="81" t="s">
        <v>113</v>
      </c>
      <c r="C55" s="18" t="s">
        <v>114</v>
      </c>
      <c r="D55" s="21" t="s">
        <v>39</v>
      </c>
      <c r="E55" s="21">
        <v>70</v>
      </c>
      <c r="F55" s="22"/>
      <c r="G55" s="22"/>
      <c r="H55" s="22"/>
      <c r="I55" s="94">
        <v>21</v>
      </c>
      <c r="J55" s="22"/>
      <c r="K55" s="20"/>
      <c r="L55" s="20"/>
      <c r="M55" s="20"/>
      <c r="N55" s="20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20">
        <f t="shared" si="9"/>
        <v>21</v>
      </c>
      <c r="S55" s="20">
        <f t="shared" si="5"/>
        <v>21</v>
      </c>
      <c r="T55" s="20">
        <f t="shared" si="6"/>
        <v>1470</v>
      </c>
    </row>
    <row r="56" spans="1:20" ht="23.25" customHeight="1" thickBot="1" x14ac:dyDescent="0.3">
      <c r="A56" s="99" t="s">
        <v>98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</row>
    <row r="57" spans="1:20" ht="38.25" customHeight="1" thickBot="1" x14ac:dyDescent="0.3">
      <c r="A57" s="13" t="s">
        <v>93</v>
      </c>
      <c r="B57" s="81" t="s">
        <v>304</v>
      </c>
      <c r="C57" s="18" t="s">
        <v>115</v>
      </c>
      <c r="D57" s="21" t="s">
        <v>3</v>
      </c>
      <c r="E57" s="21">
        <v>3.1800000000000002E-2</v>
      </c>
      <c r="F57" s="22">
        <v>422.14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422.14</v>
      </c>
      <c r="S57" s="20">
        <f t="shared" si="5"/>
        <v>422.14</v>
      </c>
      <c r="T57" s="15">
        <f t="shared" si="6"/>
        <v>13.424052</v>
      </c>
    </row>
    <row r="58" spans="1:20" ht="37.5" customHeight="1" thickBot="1" x14ac:dyDescent="0.3">
      <c r="A58" s="13" t="s">
        <v>99</v>
      </c>
      <c r="B58" s="81" t="s">
        <v>305</v>
      </c>
      <c r="C58" s="18" t="s">
        <v>116</v>
      </c>
      <c r="D58" s="21" t="s">
        <v>39</v>
      </c>
      <c r="E58" s="21">
        <v>1</v>
      </c>
      <c r="F58" s="22">
        <v>118.15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118.15</v>
      </c>
      <c r="S58" s="20">
        <f t="shared" si="5"/>
        <v>118.15</v>
      </c>
      <c r="T58" s="15">
        <f t="shared" si="6"/>
        <v>118.15</v>
      </c>
    </row>
    <row r="59" spans="1:20" ht="34.5" customHeight="1" thickBot="1" x14ac:dyDescent="0.3">
      <c r="A59" s="13" t="s">
        <v>100</v>
      </c>
      <c r="B59" s="81" t="s">
        <v>306</v>
      </c>
      <c r="C59" s="18" t="s">
        <v>117</v>
      </c>
      <c r="D59" s="21" t="s">
        <v>39</v>
      </c>
      <c r="E59" s="21">
        <v>1</v>
      </c>
      <c r="F59" s="22">
        <v>96.38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96.38</v>
      </c>
      <c r="S59" s="20">
        <f t="shared" si="5"/>
        <v>96.38</v>
      </c>
      <c r="T59" s="15">
        <f t="shared" si="6"/>
        <v>96.38</v>
      </c>
    </row>
    <row r="60" spans="1:20" ht="21.75" customHeight="1" thickBot="1" x14ac:dyDescent="0.3">
      <c r="A60" s="99" t="s">
        <v>101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1"/>
    </row>
    <row r="61" spans="1:20" ht="31.5" customHeight="1" thickBot="1" x14ac:dyDescent="0.3">
      <c r="A61" s="13" t="s">
        <v>118</v>
      </c>
      <c r="B61" s="82">
        <v>122</v>
      </c>
      <c r="C61" s="18" t="s">
        <v>122</v>
      </c>
      <c r="D61" s="21" t="s">
        <v>39</v>
      </c>
      <c r="E61" s="21">
        <v>2</v>
      </c>
      <c r="F61" s="22">
        <v>59.63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59.63</v>
      </c>
      <c r="S61" s="20">
        <f t="shared" ref="S61" si="12">IF(F61&gt;0,F61,IF(G61&gt;0,G61,IF(H61&gt;0,H61,MEDIAN(I61:M61))))</f>
        <v>59.63</v>
      </c>
      <c r="T61" s="15">
        <f t="shared" ref="T61" si="13">IF(R61&gt;S61,S61*E61,R61*E61)</f>
        <v>119.26</v>
      </c>
    </row>
    <row r="62" spans="1:20" ht="22.5" customHeight="1" thickBot="1" x14ac:dyDescent="0.3">
      <c r="A62" s="13" t="s">
        <v>119</v>
      </c>
      <c r="B62" s="82">
        <v>20083</v>
      </c>
      <c r="C62" s="18" t="s">
        <v>123</v>
      </c>
      <c r="D62" s="21" t="s">
        <v>39</v>
      </c>
      <c r="E62" s="21">
        <v>3</v>
      </c>
      <c r="F62" s="22">
        <v>67.56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67.56</v>
      </c>
      <c r="S62" s="20">
        <f t="shared" ref="S62:S64" si="19">IF(F62&gt;0,F62,IF(G62&gt;0,G62,IF(H62&gt;0,H62,MEDIAN(I62:M62))))</f>
        <v>67.56</v>
      </c>
      <c r="T62" s="15">
        <f t="shared" ref="T62:T64" si="20">IF(R62&gt;S62,S62*E62,R62*E62)</f>
        <v>202.68</v>
      </c>
    </row>
    <row r="63" spans="1:20" s="6" customFormat="1" ht="22.5" customHeight="1" thickBot="1" x14ac:dyDescent="0.3">
      <c r="A63" s="21" t="s">
        <v>120</v>
      </c>
      <c r="B63" s="82" t="s">
        <v>124</v>
      </c>
      <c r="C63" s="18" t="s">
        <v>125</v>
      </c>
      <c r="D63" s="21" t="s">
        <v>39</v>
      </c>
      <c r="E63" s="21">
        <v>1</v>
      </c>
      <c r="F63" s="22">
        <v>11.06</v>
      </c>
      <c r="G63" s="22"/>
      <c r="H63" s="22"/>
      <c r="I63" s="94">
        <v>3.69</v>
      </c>
      <c r="J63" s="22"/>
      <c r="K63" s="20"/>
      <c r="L63" s="20"/>
      <c r="M63" s="20"/>
      <c r="N63" s="20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20">
        <f t="shared" si="18"/>
        <v>11.06</v>
      </c>
      <c r="S63" s="20">
        <f t="shared" si="19"/>
        <v>11.06</v>
      </c>
      <c r="T63" s="20">
        <f t="shared" si="20"/>
        <v>11.06</v>
      </c>
    </row>
    <row r="64" spans="1:20" ht="21.75" customHeight="1" thickBot="1" x14ac:dyDescent="0.3">
      <c r="A64" s="13" t="s">
        <v>121</v>
      </c>
      <c r="B64" s="82">
        <v>38383</v>
      </c>
      <c r="C64" s="18" t="s">
        <v>126</v>
      </c>
      <c r="D64" s="21" t="s">
        <v>39</v>
      </c>
      <c r="E64" s="21">
        <v>13</v>
      </c>
      <c r="F64" s="22">
        <v>2.4500000000000002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2.4500000000000002</v>
      </c>
      <c r="S64" s="20">
        <f t="shared" si="19"/>
        <v>2.4500000000000002</v>
      </c>
      <c r="T64" s="15">
        <f t="shared" si="20"/>
        <v>31.85</v>
      </c>
    </row>
    <row r="65" spans="1:20" s="12" customFormat="1" ht="16.5" thickBot="1" x14ac:dyDescent="0.3">
      <c r="A65" s="111" t="s">
        <v>127</v>
      </c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s="12" customFormat="1" ht="16.5" thickBot="1" x14ac:dyDescent="0.3">
      <c r="A66" s="111" t="s">
        <v>128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41.25" customHeight="1" thickBot="1" x14ac:dyDescent="0.3">
      <c r="A67" s="13" t="s">
        <v>129</v>
      </c>
      <c r="B67" s="81" t="s">
        <v>307</v>
      </c>
      <c r="C67" s="18" t="s">
        <v>131</v>
      </c>
      <c r="D67" s="21" t="s">
        <v>132</v>
      </c>
      <c r="E67" s="21">
        <v>24</v>
      </c>
      <c r="F67" s="22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130</v>
      </c>
      <c r="B68" s="81" t="s">
        <v>308</v>
      </c>
      <c r="C68" s="18" t="s">
        <v>133</v>
      </c>
      <c r="D68" s="21" t="s">
        <v>132</v>
      </c>
      <c r="E68" s="21">
        <v>48</v>
      </c>
      <c r="F68" s="22">
        <v>18.89</v>
      </c>
      <c r="G68" s="22"/>
      <c r="H68" s="22"/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08" t="s">
        <v>212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10"/>
      <c r="T69" s="36">
        <f>SUM(T13:T68)</f>
        <v>13638.364052000001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7" t="s">
        <v>471</v>
      </c>
      <c r="B72" s="107"/>
      <c r="C72" s="107"/>
      <c r="D72" s="107"/>
      <c r="E72" s="107"/>
      <c r="F72" s="107"/>
      <c r="G72" s="107"/>
      <c r="H72" s="107"/>
      <c r="I72" s="107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7" t="s">
        <v>451</v>
      </c>
      <c r="B73" s="107"/>
      <c r="C73" s="107"/>
      <c r="D73" s="107"/>
      <c r="E73" s="107"/>
      <c r="F73" s="107"/>
      <c r="G73" s="107"/>
      <c r="H73" s="107"/>
      <c r="I73" s="107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7"/>
      <c r="B74" s="107"/>
      <c r="C74" s="107"/>
      <c r="D74" s="107"/>
      <c r="E74" s="107"/>
      <c r="F74" s="107"/>
      <c r="G74" s="107"/>
      <c r="H74" s="107"/>
      <c r="I74" s="107"/>
    </row>
  </sheetData>
  <mergeCells count="31"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7"/>
  <sheetViews>
    <sheetView view="pageBreakPreview" zoomScale="80" zoomScaleNormal="30" zoomScaleSheetLayoutView="80" workbookViewId="0"/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32" t="s">
        <v>5</v>
      </c>
      <c r="G9" s="32" t="s">
        <v>278</v>
      </c>
      <c r="H9" s="34" t="s">
        <v>8</v>
      </c>
      <c r="I9" s="91" t="s">
        <v>394</v>
      </c>
      <c r="J9" s="35" t="s">
        <v>211</v>
      </c>
      <c r="K9" s="35" t="s">
        <v>208</v>
      </c>
      <c r="L9" s="35" t="s">
        <v>209</v>
      </c>
      <c r="M9" s="35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68.25" customHeight="1" thickBot="1" x14ac:dyDescent="0.3">
      <c r="A11" s="21">
        <f>1</f>
        <v>1</v>
      </c>
      <c r="B11" s="21"/>
      <c r="C11" s="23" t="s">
        <v>134</v>
      </c>
      <c r="D11" s="21" t="s">
        <v>135</v>
      </c>
      <c r="E11" s="21">
        <v>800</v>
      </c>
      <c r="F11" s="22"/>
      <c r="G11" s="22"/>
      <c r="H11" s="22"/>
      <c r="I11" s="93">
        <v>4.75</v>
      </c>
      <c r="J11" s="20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309</v>
      </c>
      <c r="D12" s="21" t="s">
        <v>136</v>
      </c>
      <c r="E12" s="21">
        <v>2330</v>
      </c>
      <c r="F12" s="22"/>
      <c r="G12" s="22"/>
      <c r="H12" s="22"/>
      <c r="I12" s="20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13">
        <f t="shared" ref="A13:A57" si="7">A12+1</f>
        <v>3</v>
      </c>
      <c r="B13" s="13">
        <v>8369</v>
      </c>
      <c r="C13" s="23" t="s">
        <v>137</v>
      </c>
      <c r="D13" s="21" t="s">
        <v>138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13">
        <f t="shared" si="7"/>
        <v>4</v>
      </c>
      <c r="B14" s="13">
        <v>9501</v>
      </c>
      <c r="C14" s="23" t="s">
        <v>139</v>
      </c>
      <c r="D14" s="21" t="s">
        <v>138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140</v>
      </c>
      <c r="D15" s="21" t="s">
        <v>135</v>
      </c>
      <c r="E15" s="24">
        <v>48</v>
      </c>
      <c r="F15" s="25"/>
      <c r="G15" s="25"/>
      <c r="H15" s="25"/>
      <c r="I15" s="94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141</v>
      </c>
      <c r="D16" s="21" t="s">
        <v>135</v>
      </c>
      <c r="E16" s="21">
        <v>48</v>
      </c>
      <c r="F16" s="22"/>
      <c r="G16" s="22"/>
      <c r="H16" s="22"/>
      <c r="I16" s="94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142</v>
      </c>
      <c r="D17" s="21" t="s">
        <v>135</v>
      </c>
      <c r="E17" s="21">
        <v>48</v>
      </c>
      <c r="F17" s="22"/>
      <c r="G17" s="22"/>
      <c r="H17" s="22"/>
      <c r="I17" s="94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143</v>
      </c>
      <c r="D18" s="21" t="s">
        <v>135</v>
      </c>
      <c r="E18" s="21">
        <v>12</v>
      </c>
      <c r="F18" s="22"/>
      <c r="G18" s="22"/>
      <c r="H18" s="22">
        <f>4.27</f>
        <v>4.2699999999999996</v>
      </c>
      <c r="I18" s="20"/>
      <c r="J18" s="20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13">
        <f t="shared" si="7"/>
        <v>9</v>
      </c>
      <c r="B19" s="13">
        <v>9512</v>
      </c>
      <c r="C19" s="18" t="s">
        <v>144</v>
      </c>
      <c r="D19" s="21" t="s">
        <v>135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13">
        <f t="shared" si="7"/>
        <v>11</v>
      </c>
      <c r="B21" s="13">
        <v>14075</v>
      </c>
      <c r="C21" s="18" t="s">
        <v>146</v>
      </c>
      <c r="D21" s="21" t="s">
        <v>135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147</v>
      </c>
      <c r="D22" s="21" t="s">
        <v>135</v>
      </c>
      <c r="E22" s="65">
        <v>32</v>
      </c>
      <c r="F22" s="22"/>
      <c r="G22" s="22"/>
      <c r="H22" s="22"/>
      <c r="I22" s="94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13">
        <f t="shared" si="7"/>
        <v>13</v>
      </c>
      <c r="B23" s="13">
        <v>14073</v>
      </c>
      <c r="C23" s="18" t="s">
        <v>148</v>
      </c>
      <c r="D23" s="21" t="s">
        <v>135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13">
        <f t="shared" si="7"/>
        <v>14</v>
      </c>
      <c r="B24" s="13">
        <v>8014</v>
      </c>
      <c r="C24" s="18" t="s">
        <v>149</v>
      </c>
      <c r="D24" s="21" t="s">
        <v>135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13">
        <f t="shared" si="7"/>
        <v>15</v>
      </c>
      <c r="B25" s="13" t="s">
        <v>310</v>
      </c>
      <c r="C25" s="18" t="s">
        <v>150</v>
      </c>
      <c r="D25" s="21" t="s">
        <v>135</v>
      </c>
      <c r="E25" s="21">
        <v>1</v>
      </c>
      <c r="F25" s="14"/>
      <c r="G25" s="14">
        <v>53.83</v>
      </c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53.83</v>
      </c>
      <c r="S25" s="20">
        <f t="shared" si="5"/>
        <v>53.83</v>
      </c>
      <c r="T25" s="15">
        <f t="shared" si="6"/>
        <v>53.83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151</v>
      </c>
      <c r="D26" s="21" t="s">
        <v>135</v>
      </c>
      <c r="E26" s="21">
        <v>1</v>
      </c>
      <c r="F26" s="22">
        <v>67.56</v>
      </c>
      <c r="G26" s="22"/>
      <c r="H26" s="22"/>
      <c r="I26" s="20"/>
      <c r="J26" s="20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67.56</v>
      </c>
      <c r="S26" s="20">
        <f t="shared" si="5"/>
        <v>67.56</v>
      </c>
      <c r="T26" s="20">
        <f t="shared" si="6"/>
        <v>67.56</v>
      </c>
    </row>
    <row r="27" spans="1:20" ht="23.25" customHeight="1" thickBot="1" x14ac:dyDescent="0.3">
      <c r="A27" s="13">
        <f t="shared" si="7"/>
        <v>17</v>
      </c>
      <c r="B27" s="13" t="s">
        <v>395</v>
      </c>
      <c r="C27" s="18" t="s">
        <v>152</v>
      </c>
      <c r="D27" s="21" t="s">
        <v>135</v>
      </c>
      <c r="E27" s="21">
        <v>9</v>
      </c>
      <c r="F27" s="14">
        <v>0.74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0.74</v>
      </c>
      <c r="S27" s="20">
        <f t="shared" si="5"/>
        <v>0.74</v>
      </c>
      <c r="T27" s="15">
        <f t="shared" si="6"/>
        <v>6.66</v>
      </c>
    </row>
    <row r="28" spans="1:20" ht="24.75" customHeight="1" thickBot="1" x14ac:dyDescent="0.3">
      <c r="A28" s="13">
        <f t="shared" si="7"/>
        <v>18</v>
      </c>
      <c r="B28" s="13" t="s">
        <v>396</v>
      </c>
      <c r="C28" s="18" t="s">
        <v>153</v>
      </c>
      <c r="D28" s="21" t="s">
        <v>154</v>
      </c>
      <c r="E28" s="21">
        <v>1</v>
      </c>
      <c r="F28" s="14">
        <v>20.010000000000002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20.010000000000002</v>
      </c>
      <c r="S28" s="20">
        <f t="shared" si="5"/>
        <v>20.010000000000002</v>
      </c>
      <c r="T28" s="15">
        <f t="shared" si="6"/>
        <v>20.010000000000002</v>
      </c>
    </row>
    <row r="29" spans="1:20" ht="16.5" thickBot="1" x14ac:dyDescent="0.3">
      <c r="A29" s="13">
        <f t="shared" si="7"/>
        <v>19</v>
      </c>
      <c r="B29" s="13" t="s">
        <v>397</v>
      </c>
      <c r="C29" s="18" t="s">
        <v>155</v>
      </c>
      <c r="D29" s="21" t="s">
        <v>156</v>
      </c>
      <c r="E29" s="21">
        <v>1</v>
      </c>
      <c r="F29" s="14">
        <f>3/2</f>
        <v>1.5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1.5</v>
      </c>
      <c r="S29" s="20">
        <f t="shared" si="5"/>
        <v>1.5</v>
      </c>
      <c r="T29" s="15">
        <f t="shared" si="6"/>
        <v>1.5</v>
      </c>
    </row>
    <row r="30" spans="1:20" ht="24" customHeight="1" thickBot="1" x14ac:dyDescent="0.3">
      <c r="A30" s="13">
        <f t="shared" si="7"/>
        <v>20</v>
      </c>
      <c r="B30" s="13"/>
      <c r="C30" s="18" t="s">
        <v>157</v>
      </c>
      <c r="D30" s="21" t="s">
        <v>135</v>
      </c>
      <c r="E30" s="21">
        <v>1</v>
      </c>
      <c r="F30" s="14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13">
        <f t="shared" si="7"/>
        <v>21</v>
      </c>
      <c r="B31" s="13">
        <v>9521</v>
      </c>
      <c r="C31" s="18" t="s">
        <v>158</v>
      </c>
      <c r="D31" s="21" t="s">
        <v>135</v>
      </c>
      <c r="E31" s="21">
        <v>6</v>
      </c>
      <c r="F31" s="14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13">
        <f t="shared" si="7"/>
        <v>22</v>
      </c>
      <c r="B32" s="13">
        <v>6010</v>
      </c>
      <c r="C32" s="18" t="s">
        <v>159</v>
      </c>
      <c r="D32" s="21" t="s">
        <v>135</v>
      </c>
      <c r="E32" s="21">
        <v>1</v>
      </c>
      <c r="F32" s="14">
        <v>94.57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94.57</v>
      </c>
      <c r="S32" s="20">
        <f t="shared" si="5"/>
        <v>94.57</v>
      </c>
      <c r="T32" s="15">
        <f t="shared" si="6"/>
        <v>94.57</v>
      </c>
    </row>
    <row r="33" spans="1:20" ht="21.75" customHeight="1" thickBot="1" x14ac:dyDescent="0.3">
      <c r="A33" s="13">
        <f t="shared" si="7"/>
        <v>23</v>
      </c>
      <c r="B33" s="13"/>
      <c r="C33" s="18" t="s">
        <v>160</v>
      </c>
      <c r="D33" s="21" t="s">
        <v>135</v>
      </c>
      <c r="E33" s="21">
        <v>1</v>
      </c>
      <c r="F33" s="14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13">
        <f t="shared" si="7"/>
        <v>24</v>
      </c>
      <c r="B34" s="13"/>
      <c r="C34" s="18" t="s">
        <v>161</v>
      </c>
      <c r="D34" s="21" t="s">
        <v>135</v>
      </c>
      <c r="E34" s="21">
        <v>2</v>
      </c>
      <c r="F34" s="14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13">
        <f t="shared" si="7"/>
        <v>25</v>
      </c>
      <c r="B35" s="13"/>
      <c r="C35" s="18" t="s">
        <v>162</v>
      </c>
      <c r="D35" s="21" t="s">
        <v>135</v>
      </c>
      <c r="E35" s="21">
        <v>2</v>
      </c>
      <c r="F35" s="14"/>
      <c r="G35" s="14"/>
      <c r="H35" s="14"/>
      <c r="I35" s="93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13">
        <f t="shared" si="7"/>
        <v>26</v>
      </c>
      <c r="B36" s="13"/>
      <c r="C36" s="18" t="s">
        <v>163</v>
      </c>
      <c r="D36" s="21" t="s">
        <v>136</v>
      </c>
      <c r="E36" s="21">
        <v>5</v>
      </c>
      <c r="F36" s="14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13">
        <f t="shared" si="7"/>
        <v>27</v>
      </c>
      <c r="B37" s="13">
        <v>13184</v>
      </c>
      <c r="C37" s="18" t="s">
        <v>164</v>
      </c>
      <c r="D37" s="21" t="s">
        <v>135</v>
      </c>
      <c r="E37" s="21">
        <v>6</v>
      </c>
      <c r="F37" s="14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13">
        <f t="shared" si="7"/>
        <v>28</v>
      </c>
      <c r="B38" s="13"/>
      <c r="C38" s="18" t="s">
        <v>165</v>
      </c>
      <c r="D38" s="21" t="s">
        <v>135</v>
      </c>
      <c r="E38" s="21">
        <v>1</v>
      </c>
      <c r="F38" s="14"/>
      <c r="G38" s="14"/>
      <c r="H38" s="14"/>
      <c r="I38" s="93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13">
        <f t="shared" si="7"/>
        <v>29</v>
      </c>
      <c r="B39" s="13"/>
      <c r="C39" s="18" t="s">
        <v>166</v>
      </c>
      <c r="D39" s="21" t="s">
        <v>135</v>
      </c>
      <c r="E39" s="21">
        <v>1</v>
      </c>
      <c r="F39" s="14"/>
      <c r="G39" s="14"/>
      <c r="H39" s="14"/>
      <c r="I39" s="93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13">
        <f t="shared" si="7"/>
        <v>30</v>
      </c>
      <c r="B40" s="13"/>
      <c r="C40" s="18" t="s">
        <v>167</v>
      </c>
      <c r="D40" s="21" t="s">
        <v>135</v>
      </c>
      <c r="E40" s="21">
        <v>2</v>
      </c>
      <c r="F40" s="14"/>
      <c r="G40" s="14"/>
      <c r="H40" s="14"/>
      <c r="I40" s="93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13">
        <f t="shared" si="7"/>
        <v>31</v>
      </c>
      <c r="B41" s="13" t="s">
        <v>398</v>
      </c>
      <c r="C41" s="18" t="s">
        <v>168</v>
      </c>
      <c r="D41" s="21" t="s">
        <v>135</v>
      </c>
      <c r="E41" s="21">
        <v>1</v>
      </c>
      <c r="F41" s="14">
        <v>43.54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43.54</v>
      </c>
      <c r="S41" s="20">
        <f t="shared" si="5"/>
        <v>43.54</v>
      </c>
      <c r="T41" s="15">
        <f t="shared" si="6"/>
        <v>43.54</v>
      </c>
    </row>
    <row r="42" spans="1:20" ht="27.75" customHeight="1" thickBot="1" x14ac:dyDescent="0.3">
      <c r="A42" s="13">
        <f t="shared" si="7"/>
        <v>32</v>
      </c>
      <c r="B42" s="13"/>
      <c r="C42" s="18" t="s">
        <v>169</v>
      </c>
      <c r="D42" s="21" t="s">
        <v>135</v>
      </c>
      <c r="E42" s="21">
        <v>1</v>
      </c>
      <c r="F42" s="14"/>
      <c r="G42" s="14"/>
      <c r="H42" s="14"/>
      <c r="I42" s="93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13">
        <f t="shared" si="7"/>
        <v>33</v>
      </c>
      <c r="B43" s="13" t="s">
        <v>399</v>
      </c>
      <c r="C43" s="18" t="s">
        <v>170</v>
      </c>
      <c r="D43" s="21" t="s">
        <v>135</v>
      </c>
      <c r="E43" s="21">
        <v>1</v>
      </c>
      <c r="F43" s="14">
        <v>4.82</v>
      </c>
      <c r="G43" s="14"/>
      <c r="H43" s="14"/>
      <c r="I43" s="93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4.82</v>
      </c>
      <c r="S43" s="20">
        <f t="shared" si="5"/>
        <v>4.82</v>
      </c>
      <c r="T43" s="15">
        <f t="shared" si="6"/>
        <v>4.82</v>
      </c>
    </row>
    <row r="44" spans="1:20" ht="25.5" customHeight="1" thickBot="1" x14ac:dyDescent="0.3">
      <c r="A44" s="13">
        <f t="shared" si="7"/>
        <v>34</v>
      </c>
      <c r="B44" s="13"/>
      <c r="C44" s="18" t="s">
        <v>171</v>
      </c>
      <c r="D44" s="21" t="s">
        <v>135</v>
      </c>
      <c r="E44" s="21">
        <v>2</v>
      </c>
      <c r="F44" s="14"/>
      <c r="G44" s="14"/>
      <c r="H44" s="14"/>
      <c r="I44" s="93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 t="s">
        <v>400</v>
      </c>
      <c r="C45" s="18" t="s">
        <v>172</v>
      </c>
      <c r="D45" s="21" t="s">
        <v>135</v>
      </c>
      <c r="E45" s="21">
        <v>2</v>
      </c>
      <c r="F45" s="14">
        <v>1.63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1.63</v>
      </c>
      <c r="S45" s="20">
        <f t="shared" si="5"/>
        <v>1.63</v>
      </c>
      <c r="T45" s="15">
        <f t="shared" si="6"/>
        <v>3.26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174</v>
      </c>
      <c r="D47" s="21" t="s">
        <v>135</v>
      </c>
      <c r="E47" s="21">
        <v>2</v>
      </c>
      <c r="F47" s="14"/>
      <c r="G47" s="14"/>
      <c r="H47" s="14"/>
      <c r="I47" s="93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13">
        <f t="shared" si="7"/>
        <v>38</v>
      </c>
      <c r="B48" s="13" t="s">
        <v>401</v>
      </c>
      <c r="C48" s="18" t="s">
        <v>175</v>
      </c>
      <c r="D48" s="21" t="s">
        <v>135</v>
      </c>
      <c r="E48" s="21">
        <v>5</v>
      </c>
      <c r="F48" s="14">
        <v>2.2000000000000002</v>
      </c>
      <c r="G48" s="14"/>
      <c r="H48" s="14"/>
      <c r="I48" s="93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2.2000000000000002</v>
      </c>
      <c r="S48" s="20">
        <f t="shared" si="5"/>
        <v>2.2000000000000002</v>
      </c>
      <c r="T48" s="15">
        <f t="shared" si="6"/>
        <v>11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93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402</v>
      </c>
      <c r="C50" s="18" t="s">
        <v>177</v>
      </c>
      <c r="D50" s="21" t="s">
        <v>135</v>
      </c>
      <c r="E50" s="21">
        <v>4</v>
      </c>
      <c r="F50" s="14">
        <v>39.58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39.58</v>
      </c>
      <c r="S50" s="20">
        <f t="shared" si="5"/>
        <v>39.58</v>
      </c>
      <c r="T50" s="15">
        <f t="shared" si="6"/>
        <v>158.32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13">
        <f t="shared" si="7"/>
        <v>42</v>
      </c>
      <c r="B52" s="13" t="s">
        <v>403</v>
      </c>
      <c r="C52" s="18" t="s">
        <v>179</v>
      </c>
      <c r="D52" s="21" t="s">
        <v>135</v>
      </c>
      <c r="E52" s="21">
        <v>1</v>
      </c>
      <c r="F52" s="14">
        <v>3.43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3.43</v>
      </c>
      <c r="S52" s="20">
        <f t="shared" si="5"/>
        <v>3.43</v>
      </c>
      <c r="T52" s="15">
        <f t="shared" si="6"/>
        <v>3.43</v>
      </c>
    </row>
    <row r="53" spans="1:20" ht="24.75" customHeight="1" thickBot="1" x14ac:dyDescent="0.3">
      <c r="A53" s="13">
        <f t="shared" si="7"/>
        <v>43</v>
      </c>
      <c r="B53" s="29" t="s">
        <v>404</v>
      </c>
      <c r="C53" s="18" t="s">
        <v>180</v>
      </c>
      <c r="D53" s="21" t="s">
        <v>135</v>
      </c>
      <c r="E53" s="21">
        <v>3</v>
      </c>
      <c r="F53" s="14">
        <v>1.86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1.86</v>
      </c>
      <c r="S53" s="20">
        <f t="shared" si="5"/>
        <v>1.86</v>
      </c>
      <c r="T53" s="15">
        <f t="shared" si="6"/>
        <v>5.58</v>
      </c>
    </row>
    <row r="54" spans="1:20" ht="26.25" customHeight="1" thickBot="1" x14ac:dyDescent="0.3">
      <c r="A54" s="13">
        <f t="shared" si="7"/>
        <v>44</v>
      </c>
      <c r="B54" s="13" t="s">
        <v>405</v>
      </c>
      <c r="C54" s="18" t="s">
        <v>181</v>
      </c>
      <c r="D54" s="21" t="s">
        <v>135</v>
      </c>
      <c r="E54" s="21">
        <v>1</v>
      </c>
      <c r="F54" s="14">
        <v>235.24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235.24</v>
      </c>
      <c r="S54" s="20">
        <f t="shared" si="5"/>
        <v>235.24</v>
      </c>
      <c r="T54" s="15">
        <f t="shared" si="6"/>
        <v>235.24</v>
      </c>
    </row>
    <row r="55" spans="1:20" ht="27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13">
        <f t="shared" si="7"/>
        <v>46</v>
      </c>
      <c r="B56" s="13"/>
      <c r="C56" s="18" t="s">
        <v>183</v>
      </c>
      <c r="D56" s="21" t="s">
        <v>135</v>
      </c>
      <c r="E56" s="21">
        <v>1</v>
      </c>
      <c r="F56" s="14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13">
        <f t="shared" si="7"/>
        <v>47</v>
      </c>
      <c r="B57" s="13" t="s">
        <v>406</v>
      </c>
      <c r="C57" s="18" t="s">
        <v>184</v>
      </c>
      <c r="D57" s="21" t="s">
        <v>135</v>
      </c>
      <c r="E57" s="21">
        <v>1</v>
      </c>
      <c r="F57" s="14"/>
      <c r="G57" s="14"/>
      <c r="H57" s="93">
        <v>1733.3</v>
      </c>
      <c r="I57" s="20">
        <v>1353.44</v>
      </c>
      <c r="J57" s="15"/>
      <c r="K57" s="15"/>
      <c r="L57" s="15"/>
      <c r="M57" s="15"/>
      <c r="N57" s="15">
        <f t="shared" si="3"/>
        <v>1353.44</v>
      </c>
      <c r="O57" s="15">
        <f t="shared" si="4"/>
        <v>0</v>
      </c>
      <c r="P57" s="15">
        <f t="shared" si="0"/>
        <v>1353.44</v>
      </c>
      <c r="Q57" s="15">
        <f t="shared" si="1"/>
        <v>1353.44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363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409</v>
      </c>
      <c r="C59" s="18" t="s">
        <v>185</v>
      </c>
      <c r="D59" s="21" t="s">
        <v>135</v>
      </c>
      <c r="E59" s="21">
        <v>1</v>
      </c>
      <c r="F59" s="14">
        <f>0.66*25</f>
        <v>16.5</v>
      </c>
      <c r="G59" s="14"/>
      <c r="H59" s="14"/>
      <c r="I59" s="14"/>
      <c r="J59" s="15"/>
      <c r="K59" s="15"/>
      <c r="L59" s="15"/>
      <c r="M59" s="15"/>
      <c r="N59" s="15" t="e">
        <f t="shared" ref="N59:N67" si="8">AVERAGE(I59:M59)</f>
        <v>#DIV/0!</v>
      </c>
      <c r="O59" s="15" t="e">
        <f t="shared" ref="O59:O67" si="9">STDEVPA(I59:M59)</f>
        <v>#DIV/0!</v>
      </c>
      <c r="P59" s="15" t="e">
        <f t="shared" ref="P59:P67" si="10">N59+O59</f>
        <v>#DIV/0!</v>
      </c>
      <c r="Q59" s="15" t="e">
        <f t="shared" ref="Q59:Q67" si="11">N59-O59</f>
        <v>#DIV/0!</v>
      </c>
      <c r="R59" s="15">
        <f t="shared" ref="R59:R67" si="12">IF(F59&gt;0,F59,IF(G59&gt;0,G59,IF(H59&gt;0,H59,AVERAGEIFS(I59:M59,I59:M59,"&gt;="&amp;Q59,I59:M59,"&lt;="&amp;P59))))</f>
        <v>16.5</v>
      </c>
      <c r="S59" s="20">
        <f t="shared" ref="S59:S67" si="13">IF(F59&gt;0,F59,IF(G59&gt;0,G59,IF(H59&gt;0,H59,MEDIAN(I59:M59))))</f>
        <v>16.5</v>
      </c>
      <c r="T59" s="15">
        <f t="shared" ref="T59:T67" si="14">IF(R59&gt;S59,S59*E59,R59*E59)</f>
        <v>16.5</v>
      </c>
    </row>
    <row r="60" spans="1:20" ht="24.75" customHeight="1" thickBot="1" x14ac:dyDescent="0.3">
      <c r="A60" s="13">
        <f>A59+1</f>
        <v>49</v>
      </c>
      <c r="B60" s="29" t="s">
        <v>410</v>
      </c>
      <c r="C60" s="18" t="s">
        <v>186</v>
      </c>
      <c r="D60" s="21" t="s">
        <v>135</v>
      </c>
      <c r="E60" s="21">
        <v>5</v>
      </c>
      <c r="F60" s="14"/>
      <c r="G60" s="14">
        <f>131.31/100</f>
        <v>1.3130999999999999</v>
      </c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1.3130999999999999</v>
      </c>
      <c r="S60" s="20">
        <f t="shared" si="13"/>
        <v>1.3130999999999999</v>
      </c>
      <c r="T60" s="15">
        <f t="shared" si="14"/>
        <v>6.5655000000000001</v>
      </c>
    </row>
    <row r="61" spans="1:20" ht="25.5" customHeight="1" thickBot="1" x14ac:dyDescent="0.3">
      <c r="A61" s="13">
        <f t="shared" ref="A61:A67" si="15">A60+1</f>
        <v>50</v>
      </c>
      <c r="B61" s="29" t="s">
        <v>411</v>
      </c>
      <c r="C61" s="18" t="s">
        <v>187</v>
      </c>
      <c r="D61" s="21" t="s">
        <v>135</v>
      </c>
      <c r="E61" s="21">
        <v>4</v>
      </c>
      <c r="F61" s="14"/>
      <c r="G61" s="14">
        <f>139.27/50</f>
        <v>2.7854000000000001</v>
      </c>
      <c r="H61" s="14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2.7854000000000001</v>
      </c>
      <c r="S61" s="20">
        <f t="shared" si="13"/>
        <v>2.7854000000000001</v>
      </c>
      <c r="T61" s="15">
        <f t="shared" si="14"/>
        <v>11.1416</v>
      </c>
    </row>
    <row r="62" spans="1:20" ht="27" customHeight="1" thickBot="1" x14ac:dyDescent="0.3">
      <c r="A62" s="13">
        <f t="shared" si="15"/>
        <v>51</v>
      </c>
      <c r="B62" s="29" t="s">
        <v>412</v>
      </c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8"/>
        <v>19.829999999999998</v>
      </c>
      <c r="O62" s="15">
        <f t="shared" si="9"/>
        <v>0</v>
      </c>
      <c r="P62" s="15">
        <f t="shared" si="10"/>
        <v>19.829999999999998</v>
      </c>
      <c r="Q62" s="15">
        <f t="shared" si="11"/>
        <v>19.829999999999998</v>
      </c>
      <c r="R62" s="15">
        <f t="shared" si="12"/>
        <v>19.829999999999998</v>
      </c>
      <c r="S62" s="20">
        <f t="shared" si="13"/>
        <v>19.829999999999998</v>
      </c>
      <c r="T62" s="15">
        <f t="shared" si="14"/>
        <v>59.489999999999995</v>
      </c>
    </row>
    <row r="63" spans="1:20" ht="26.25" customHeight="1" thickBot="1" x14ac:dyDescent="0.3">
      <c r="A63" s="13">
        <f t="shared" si="15"/>
        <v>52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0.55000000000000004</v>
      </c>
      <c r="H63" s="14"/>
      <c r="I63" s="14">
        <f>0.62</f>
        <v>0.62</v>
      </c>
      <c r="J63" s="15"/>
      <c r="K63" s="15"/>
      <c r="L63" s="15"/>
      <c r="M63" s="15"/>
      <c r="N63" s="15">
        <f t="shared" si="8"/>
        <v>0.62</v>
      </c>
      <c r="O63" s="15">
        <f t="shared" si="9"/>
        <v>0</v>
      </c>
      <c r="P63" s="15">
        <f t="shared" si="10"/>
        <v>0.62</v>
      </c>
      <c r="Q63" s="15">
        <f t="shared" si="11"/>
        <v>0.62</v>
      </c>
      <c r="R63" s="15">
        <f t="shared" si="12"/>
        <v>0.55000000000000004</v>
      </c>
      <c r="S63" s="20">
        <f t="shared" si="13"/>
        <v>0.55000000000000004</v>
      </c>
      <c r="T63" s="15">
        <f t="shared" si="14"/>
        <v>4.4000000000000004</v>
      </c>
    </row>
    <row r="64" spans="1:20" ht="26.25" customHeight="1" thickBot="1" x14ac:dyDescent="0.3">
      <c r="A64" s="13">
        <f t="shared" si="15"/>
        <v>53</v>
      </c>
      <c r="B64" s="29" t="s">
        <v>413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/>
      <c r="K64" s="15"/>
      <c r="L64" s="15"/>
      <c r="M64" s="15"/>
      <c r="N64" s="15" t="e">
        <f t="shared" si="8"/>
        <v>#DIV/0!</v>
      </c>
      <c r="O64" s="15" t="e">
        <f t="shared" si="9"/>
        <v>#DIV/0!</v>
      </c>
      <c r="P64" s="15" t="e">
        <f t="shared" si="10"/>
        <v>#DIV/0!</v>
      </c>
      <c r="Q64" s="15" t="e">
        <f t="shared" si="11"/>
        <v>#DIV/0!</v>
      </c>
      <c r="R64" s="15">
        <f t="shared" si="12"/>
        <v>16.399999999999999</v>
      </c>
      <c r="S64" s="20">
        <f t="shared" si="13"/>
        <v>16.399999999999999</v>
      </c>
      <c r="T64" s="15">
        <f t="shared" si="14"/>
        <v>16.399999999999999</v>
      </c>
    </row>
    <row r="65" spans="1:21" ht="47.25" customHeight="1" thickBot="1" x14ac:dyDescent="0.3">
      <c r="A65" s="13">
        <f t="shared" si="15"/>
        <v>54</v>
      </c>
      <c r="B65" s="29" t="s">
        <v>414</v>
      </c>
      <c r="C65" s="18" t="s">
        <v>191</v>
      </c>
      <c r="D65" s="21" t="s">
        <v>135</v>
      </c>
      <c r="E65" s="21">
        <v>1</v>
      </c>
      <c r="F65" s="14">
        <v>54.4</v>
      </c>
      <c r="G65" s="14"/>
      <c r="H65" s="14"/>
      <c r="I65" s="14"/>
      <c r="J65" s="15"/>
      <c r="K65" s="15"/>
      <c r="L65" s="15"/>
      <c r="M65" s="15"/>
      <c r="N65" s="15" t="e">
        <f t="shared" si="8"/>
        <v>#DIV/0!</v>
      </c>
      <c r="O65" s="15" t="e">
        <f t="shared" si="9"/>
        <v>#DIV/0!</v>
      </c>
      <c r="P65" s="15" t="e">
        <f t="shared" si="10"/>
        <v>#DIV/0!</v>
      </c>
      <c r="Q65" s="15" t="e">
        <f t="shared" si="11"/>
        <v>#DIV/0!</v>
      </c>
      <c r="R65" s="15">
        <f t="shared" si="12"/>
        <v>54.4</v>
      </c>
      <c r="S65" s="20">
        <f t="shared" si="13"/>
        <v>54.4</v>
      </c>
      <c r="T65" s="15">
        <f t="shared" si="14"/>
        <v>54.4</v>
      </c>
    </row>
    <row r="66" spans="1:21" ht="58.5" customHeight="1" thickBot="1" x14ac:dyDescent="0.3">
      <c r="A66" s="13">
        <f t="shared" si="15"/>
        <v>55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8"/>
        <v>#DIV/0!</v>
      </c>
      <c r="O66" s="15" t="e">
        <f t="shared" si="9"/>
        <v>#DIV/0!</v>
      </c>
      <c r="P66" s="15" t="e">
        <f t="shared" si="10"/>
        <v>#DIV/0!</v>
      </c>
      <c r="Q66" s="15" t="e">
        <f t="shared" si="11"/>
        <v>#DIV/0!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ht="80.25" customHeight="1" thickBot="1" x14ac:dyDescent="0.3">
      <c r="A67" s="13">
        <f t="shared" si="15"/>
        <v>56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8"/>
        <v>#DIV/0!</v>
      </c>
      <c r="O67" s="15" t="e">
        <f t="shared" si="9"/>
        <v>#DIV/0!</v>
      </c>
      <c r="P67" s="15" t="e">
        <f t="shared" si="10"/>
        <v>#DIV/0!</v>
      </c>
      <c r="Q67" s="15" t="e">
        <f t="shared" si="11"/>
        <v>#DIV/0!</v>
      </c>
      <c r="R67" s="15">
        <f t="shared" si="12"/>
        <v>18.89</v>
      </c>
      <c r="S67" s="20">
        <f t="shared" si="13"/>
        <v>18.89</v>
      </c>
      <c r="T67" s="20">
        <f t="shared" si="14"/>
        <v>906.72</v>
      </c>
      <c r="U67" s="48"/>
    </row>
    <row r="68" spans="1:21" ht="33" customHeight="1" thickBot="1" x14ac:dyDescent="0.3">
      <c r="A68" s="57" t="s">
        <v>315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316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A67+1</f>
        <v>57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4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13">
        <f t="shared" ref="A71:A131" si="23">A70+1</f>
        <v>58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4">
        <f>32.8/2</f>
        <v>16.399999999999999</v>
      </c>
      <c r="J71" s="15"/>
      <c r="K71" s="15"/>
      <c r="L71" s="15"/>
      <c r="M71" s="15"/>
      <c r="N71" s="15">
        <f t="shared" ref="N71:N98" si="24">AVERAGE(I71:M71)</f>
        <v>16.399999999999999</v>
      </c>
      <c r="O71" s="15">
        <f t="shared" ref="O71:O98" si="25">STDEVPA(I71:M71)</f>
        <v>0</v>
      </c>
      <c r="P71" s="15">
        <f t="shared" ref="P71:P98" si="26">N71+O71</f>
        <v>16.399999999999999</v>
      </c>
      <c r="Q71" s="15">
        <f t="shared" ref="Q71:Q98" si="27">N71-O71</f>
        <v>16.399999999999999</v>
      </c>
      <c r="R71" s="15">
        <f t="shared" ref="R71:R98" si="28">IF(F71&gt;0,F71,IF(G71&gt;0,G71,IF(H71&gt;0,H71,AVERAGEIFS(I71:M71,I71:M71,"&gt;="&amp;Q71,I71:M71,"&lt;="&amp;P71))))</f>
        <v>16.399999999999999</v>
      </c>
      <c r="S71" s="20">
        <f t="shared" ref="S71:S98" si="29">IF(F71&gt;0,F71,IF(G71&gt;0,G71,IF(H71&gt;0,H71,MEDIAN(I71:M71))))</f>
        <v>16.399999999999999</v>
      </c>
      <c r="T71" s="15">
        <f t="shared" ref="T71:T98" si="30">IF(R71&gt;S71,S71*E71,R71*E71)</f>
        <v>8.1999999999999993</v>
      </c>
    </row>
    <row r="72" spans="1:21" ht="46.5" customHeight="1" thickBot="1" x14ac:dyDescent="0.3">
      <c r="A72" s="13">
        <f t="shared" si="23"/>
        <v>59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4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13">
        <f t="shared" si="23"/>
        <v>60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4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13">
        <f t="shared" si="23"/>
        <v>61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4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13">
        <f t="shared" si="23"/>
        <v>62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4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13">
        <f t="shared" si="23"/>
        <v>63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4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13">
        <f t="shared" si="23"/>
        <v>64</v>
      </c>
      <c r="B77" s="81" t="s">
        <v>407</v>
      </c>
      <c r="C77" s="84" t="s">
        <v>326</v>
      </c>
      <c r="D77" s="85" t="s">
        <v>318</v>
      </c>
      <c r="E77" s="85">
        <v>2</v>
      </c>
      <c r="F77" s="14">
        <v>83.97</v>
      </c>
      <c r="G77" s="14"/>
      <c r="H77" s="14"/>
      <c r="I77" s="94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83.97</v>
      </c>
      <c r="S77" s="20">
        <f t="shared" si="29"/>
        <v>83.97</v>
      </c>
      <c r="T77" s="15">
        <f t="shared" si="30"/>
        <v>167.94</v>
      </c>
    </row>
    <row r="78" spans="1:21" ht="69.75" customHeight="1" thickBot="1" x14ac:dyDescent="0.3">
      <c r="A78" s="13">
        <f t="shared" si="23"/>
        <v>65</v>
      </c>
      <c r="B78" s="81" t="s">
        <v>408</v>
      </c>
      <c r="C78" s="84" t="s">
        <v>327</v>
      </c>
      <c r="D78" s="85" t="s">
        <v>318</v>
      </c>
      <c r="E78" s="85">
        <v>1</v>
      </c>
      <c r="F78" s="14">
        <v>10.77</v>
      </c>
      <c r="G78" s="14"/>
      <c r="H78" s="14"/>
      <c r="I78" s="94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10.77</v>
      </c>
      <c r="S78" s="20">
        <f t="shared" si="29"/>
        <v>10.77</v>
      </c>
      <c r="T78" s="15">
        <f t="shared" si="30"/>
        <v>10.77</v>
      </c>
    </row>
    <row r="79" spans="1:21" ht="70.5" customHeight="1" thickBot="1" x14ac:dyDescent="0.3">
      <c r="A79" s="13">
        <f t="shared" si="23"/>
        <v>66</v>
      </c>
      <c r="B79" s="81" t="s">
        <v>427</v>
      </c>
      <c r="C79" s="84" t="s">
        <v>381</v>
      </c>
      <c r="D79" s="85" t="s">
        <v>318</v>
      </c>
      <c r="E79" s="85">
        <v>1</v>
      </c>
      <c r="F79" s="14">
        <v>10.77</v>
      </c>
      <c r="G79" s="14"/>
      <c r="H79" s="14"/>
      <c r="I79" s="94">
        <v>10.35</v>
      </c>
      <c r="J79" s="15"/>
      <c r="K79" s="15"/>
      <c r="L79" s="15"/>
      <c r="M79" s="15"/>
      <c r="N79" s="15">
        <f t="shared" si="24"/>
        <v>10.35</v>
      </c>
      <c r="O79" s="15">
        <f t="shared" si="25"/>
        <v>0</v>
      </c>
      <c r="P79" s="15">
        <f t="shared" si="26"/>
        <v>10.35</v>
      </c>
      <c r="Q79" s="15">
        <f t="shared" si="27"/>
        <v>10.35</v>
      </c>
      <c r="R79" s="15">
        <f t="shared" si="28"/>
        <v>10.77</v>
      </c>
      <c r="S79" s="20">
        <f t="shared" si="29"/>
        <v>10.77</v>
      </c>
      <c r="T79" s="15">
        <f t="shared" si="30"/>
        <v>10.77</v>
      </c>
    </row>
    <row r="80" spans="1:21" ht="76.5" customHeight="1" thickBot="1" x14ac:dyDescent="0.3">
      <c r="A80" s="13">
        <f t="shared" si="23"/>
        <v>67</v>
      </c>
      <c r="B80" s="81" t="s">
        <v>408</v>
      </c>
      <c r="C80" s="84" t="s">
        <v>328</v>
      </c>
      <c r="D80" s="85" t="s">
        <v>318</v>
      </c>
      <c r="E80" s="85">
        <v>3</v>
      </c>
      <c r="F80" s="14">
        <v>10.77</v>
      </c>
      <c r="G80" s="14"/>
      <c r="H80" s="14"/>
      <c r="I80" s="94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10.77</v>
      </c>
      <c r="S80" s="20">
        <f t="shared" si="29"/>
        <v>10.77</v>
      </c>
      <c r="T80" s="15">
        <f t="shared" si="30"/>
        <v>32.31</v>
      </c>
    </row>
    <row r="81" spans="1:20" ht="70.5" customHeight="1" thickBot="1" x14ac:dyDescent="0.3">
      <c r="A81" s="13">
        <f t="shared" si="23"/>
        <v>68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4">
        <v>81.89</v>
      </c>
      <c r="J81" s="15"/>
      <c r="K81" s="15"/>
      <c r="L81" s="15"/>
      <c r="M81" s="15"/>
      <c r="N81" s="15">
        <f t="shared" si="24"/>
        <v>81.89</v>
      </c>
      <c r="O81" s="15">
        <f t="shared" si="25"/>
        <v>0</v>
      </c>
      <c r="P81" s="15">
        <f t="shared" si="26"/>
        <v>81.89</v>
      </c>
      <c r="Q81" s="15">
        <f t="shared" si="27"/>
        <v>81.89</v>
      </c>
      <c r="R81" s="15">
        <f t="shared" si="28"/>
        <v>81.89</v>
      </c>
      <c r="S81" s="20">
        <f t="shared" si="29"/>
        <v>81.89</v>
      </c>
      <c r="T81" s="15">
        <f t="shared" si="30"/>
        <v>163.78</v>
      </c>
    </row>
    <row r="82" spans="1:20" ht="57.75" customHeight="1" thickBot="1" x14ac:dyDescent="0.3">
      <c r="A82" s="13">
        <f t="shared" si="23"/>
        <v>69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4">
        <v>31.99</v>
      </c>
      <c r="J82" s="15"/>
      <c r="K82" s="15"/>
      <c r="L82" s="15"/>
      <c r="M82" s="15"/>
      <c r="N82" s="15">
        <f t="shared" si="24"/>
        <v>31.99</v>
      </c>
      <c r="O82" s="15">
        <f t="shared" si="25"/>
        <v>0</v>
      </c>
      <c r="P82" s="15">
        <f t="shared" si="26"/>
        <v>31.99</v>
      </c>
      <c r="Q82" s="15">
        <f t="shared" si="27"/>
        <v>31.99</v>
      </c>
      <c r="R82" s="15">
        <f t="shared" si="28"/>
        <v>31.99</v>
      </c>
      <c r="S82" s="20">
        <f t="shared" si="29"/>
        <v>31.99</v>
      </c>
      <c r="T82" s="15">
        <f t="shared" si="30"/>
        <v>31.99</v>
      </c>
    </row>
    <row r="83" spans="1:20" ht="33" customHeight="1" thickBot="1" x14ac:dyDescent="0.3">
      <c r="A83" s="13">
        <f t="shared" si="23"/>
        <v>70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4">
        <v>143.18</v>
      </c>
      <c r="J83" s="15"/>
      <c r="K83" s="15"/>
      <c r="L83" s="15"/>
      <c r="M83" s="15"/>
      <c r="N83" s="15">
        <f t="shared" si="24"/>
        <v>143.18</v>
      </c>
      <c r="O83" s="15">
        <f t="shared" si="25"/>
        <v>0</v>
      </c>
      <c r="P83" s="15">
        <f t="shared" si="26"/>
        <v>143.18</v>
      </c>
      <c r="Q83" s="15">
        <f t="shared" si="27"/>
        <v>143.18</v>
      </c>
      <c r="R83" s="15">
        <f t="shared" si="28"/>
        <v>143.18</v>
      </c>
      <c r="S83" s="20">
        <f t="shared" si="29"/>
        <v>143.18</v>
      </c>
      <c r="T83" s="15">
        <f t="shared" si="30"/>
        <v>143.18</v>
      </c>
    </row>
    <row r="84" spans="1:20" ht="59.25" customHeight="1" thickBot="1" x14ac:dyDescent="0.3">
      <c r="A84" s="13">
        <f t="shared" si="23"/>
        <v>71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4">
        <v>146.36000000000001</v>
      </c>
      <c r="J84" s="15"/>
      <c r="K84" s="15"/>
      <c r="L84" s="15"/>
      <c r="M84" s="15"/>
      <c r="N84" s="15">
        <f t="shared" si="24"/>
        <v>146.36000000000001</v>
      </c>
      <c r="O84" s="15">
        <f t="shared" si="25"/>
        <v>0</v>
      </c>
      <c r="P84" s="15">
        <f t="shared" si="26"/>
        <v>146.36000000000001</v>
      </c>
      <c r="Q84" s="15">
        <f t="shared" si="27"/>
        <v>146.36000000000001</v>
      </c>
      <c r="R84" s="15">
        <f t="shared" si="28"/>
        <v>146.36000000000001</v>
      </c>
      <c r="S84" s="20">
        <f t="shared" si="29"/>
        <v>146.36000000000001</v>
      </c>
      <c r="T84" s="15">
        <f t="shared" si="30"/>
        <v>146.36000000000001</v>
      </c>
    </row>
    <row r="85" spans="1:20" ht="84" customHeight="1" thickBot="1" x14ac:dyDescent="0.3">
      <c r="A85" s="13">
        <f t="shared" si="23"/>
        <v>72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4">
        <v>187.13</v>
      </c>
      <c r="J85" s="15"/>
      <c r="K85" s="15"/>
      <c r="L85" s="15"/>
      <c r="M85" s="15"/>
      <c r="N85" s="15">
        <f t="shared" si="24"/>
        <v>187.13</v>
      </c>
      <c r="O85" s="15">
        <f t="shared" si="25"/>
        <v>0</v>
      </c>
      <c r="P85" s="15">
        <f t="shared" si="26"/>
        <v>187.13</v>
      </c>
      <c r="Q85" s="15">
        <f t="shared" si="27"/>
        <v>187.13</v>
      </c>
      <c r="R85" s="15">
        <f t="shared" si="28"/>
        <v>187.13</v>
      </c>
      <c r="S85" s="20">
        <f t="shared" si="29"/>
        <v>187.13</v>
      </c>
      <c r="T85" s="15">
        <f t="shared" si="30"/>
        <v>187.13</v>
      </c>
    </row>
    <row r="86" spans="1:20" ht="77.25" customHeight="1" thickBot="1" x14ac:dyDescent="0.3">
      <c r="A86" s="13">
        <f t="shared" si="23"/>
        <v>73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4">
        <v>74.150000000000006</v>
      </c>
      <c r="J86" s="15"/>
      <c r="K86" s="15"/>
      <c r="L86" s="15"/>
      <c r="M86" s="15"/>
      <c r="N86" s="15">
        <f t="shared" si="24"/>
        <v>74.150000000000006</v>
      </c>
      <c r="O86" s="15">
        <f t="shared" si="25"/>
        <v>0</v>
      </c>
      <c r="P86" s="15">
        <f t="shared" si="26"/>
        <v>74.150000000000006</v>
      </c>
      <c r="Q86" s="15">
        <f t="shared" si="27"/>
        <v>74.150000000000006</v>
      </c>
      <c r="R86" s="15">
        <f t="shared" si="28"/>
        <v>74.150000000000006</v>
      </c>
      <c r="S86" s="20">
        <f t="shared" si="29"/>
        <v>74.150000000000006</v>
      </c>
      <c r="T86" s="15">
        <f t="shared" si="30"/>
        <v>74.150000000000006</v>
      </c>
    </row>
    <row r="87" spans="1:20" ht="79.5" customHeight="1" thickBot="1" x14ac:dyDescent="0.3">
      <c r="A87" s="13">
        <f t="shared" si="23"/>
        <v>74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4">
        <v>25.99</v>
      </c>
      <c r="J87" s="15"/>
      <c r="K87" s="15"/>
      <c r="L87" s="15"/>
      <c r="M87" s="15"/>
      <c r="N87" s="15">
        <f t="shared" si="24"/>
        <v>25.99</v>
      </c>
      <c r="O87" s="15">
        <f t="shared" si="25"/>
        <v>0</v>
      </c>
      <c r="P87" s="15">
        <f t="shared" si="26"/>
        <v>25.99</v>
      </c>
      <c r="Q87" s="15">
        <f t="shared" si="27"/>
        <v>25.99</v>
      </c>
      <c r="R87" s="15">
        <f t="shared" si="28"/>
        <v>25.99</v>
      </c>
      <c r="S87" s="20">
        <f t="shared" si="29"/>
        <v>25.99</v>
      </c>
      <c r="T87" s="15">
        <f t="shared" si="30"/>
        <v>25.99</v>
      </c>
    </row>
    <row r="88" spans="1:20" ht="50.25" customHeight="1" thickBot="1" x14ac:dyDescent="0.3">
      <c r="A88" s="13">
        <f t="shared" si="23"/>
        <v>75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4">
        <v>24.33</v>
      </c>
      <c r="J88" s="15"/>
      <c r="K88" s="15"/>
      <c r="L88" s="15"/>
      <c r="M88" s="15"/>
      <c r="N88" s="15">
        <f t="shared" si="24"/>
        <v>24.33</v>
      </c>
      <c r="O88" s="15">
        <f t="shared" si="25"/>
        <v>0</v>
      </c>
      <c r="P88" s="15">
        <f t="shared" si="26"/>
        <v>24.33</v>
      </c>
      <c r="Q88" s="15">
        <f t="shared" si="27"/>
        <v>24.33</v>
      </c>
      <c r="R88" s="15">
        <f t="shared" si="28"/>
        <v>24.33</v>
      </c>
      <c r="S88" s="20">
        <f t="shared" si="29"/>
        <v>24.33</v>
      </c>
      <c r="T88" s="15">
        <f t="shared" si="30"/>
        <v>24.33</v>
      </c>
    </row>
    <row r="89" spans="1:20" ht="57" customHeight="1" thickBot="1" x14ac:dyDescent="0.3">
      <c r="A89" s="13">
        <f t="shared" si="23"/>
        <v>76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4">
        <v>23.55</v>
      </c>
      <c r="J89" s="15"/>
      <c r="K89" s="15"/>
      <c r="L89" s="15"/>
      <c r="M89" s="15"/>
      <c r="N89" s="15">
        <f t="shared" si="24"/>
        <v>23.55</v>
      </c>
      <c r="O89" s="15">
        <f t="shared" si="25"/>
        <v>0</v>
      </c>
      <c r="P89" s="15">
        <f t="shared" si="26"/>
        <v>23.55</v>
      </c>
      <c r="Q89" s="15">
        <f t="shared" si="27"/>
        <v>23.55</v>
      </c>
      <c r="R89" s="15">
        <f t="shared" si="28"/>
        <v>23.55</v>
      </c>
      <c r="S89" s="20">
        <f t="shared" si="29"/>
        <v>23.55</v>
      </c>
      <c r="T89" s="15">
        <f t="shared" si="30"/>
        <v>23.55</v>
      </c>
    </row>
    <row r="90" spans="1:20" ht="63" customHeight="1" thickBot="1" x14ac:dyDescent="0.3">
      <c r="A90" s="13">
        <f t="shared" si="23"/>
        <v>77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4">
        <v>17.23</v>
      </c>
      <c r="J90" s="15"/>
      <c r="K90" s="15"/>
      <c r="L90" s="15"/>
      <c r="M90" s="15"/>
      <c r="N90" s="15">
        <f t="shared" si="24"/>
        <v>17.23</v>
      </c>
      <c r="O90" s="15">
        <f t="shared" si="25"/>
        <v>0</v>
      </c>
      <c r="P90" s="15">
        <f t="shared" si="26"/>
        <v>17.23</v>
      </c>
      <c r="Q90" s="15">
        <f t="shared" si="27"/>
        <v>17.23</v>
      </c>
      <c r="R90" s="15">
        <f t="shared" si="28"/>
        <v>17.23</v>
      </c>
      <c r="S90" s="20">
        <f t="shared" si="29"/>
        <v>17.23</v>
      </c>
      <c r="T90" s="15">
        <f t="shared" si="30"/>
        <v>34.46</v>
      </c>
    </row>
    <row r="91" spans="1:20" ht="53.25" customHeight="1" thickBot="1" x14ac:dyDescent="0.3">
      <c r="A91" s="13">
        <f t="shared" si="23"/>
        <v>78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4">
        <v>8.69</v>
      </c>
      <c r="J91" s="15"/>
      <c r="K91" s="15"/>
      <c r="L91" s="15"/>
      <c r="M91" s="15"/>
      <c r="N91" s="15">
        <f t="shared" si="24"/>
        <v>8.69</v>
      </c>
      <c r="O91" s="15">
        <f t="shared" si="25"/>
        <v>0</v>
      </c>
      <c r="P91" s="15">
        <f t="shared" si="26"/>
        <v>8.69</v>
      </c>
      <c r="Q91" s="15">
        <f t="shared" si="27"/>
        <v>8.69</v>
      </c>
      <c r="R91" s="15">
        <f t="shared" si="28"/>
        <v>8.69</v>
      </c>
      <c r="S91" s="20">
        <f t="shared" si="29"/>
        <v>8.69</v>
      </c>
      <c r="T91" s="15">
        <f t="shared" si="30"/>
        <v>17.38</v>
      </c>
    </row>
    <row r="92" spans="1:20" ht="57.75" customHeight="1" thickBot="1" x14ac:dyDescent="0.3">
      <c r="A92" s="13">
        <f t="shared" si="23"/>
        <v>79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4">
        <f>264.49/2</f>
        <v>132.245</v>
      </c>
      <c r="J92" s="15"/>
      <c r="K92" s="15"/>
      <c r="L92" s="15"/>
      <c r="M92" s="15"/>
      <c r="N92" s="15">
        <f t="shared" si="24"/>
        <v>132.245</v>
      </c>
      <c r="O92" s="15">
        <f t="shared" si="25"/>
        <v>0</v>
      </c>
      <c r="P92" s="15">
        <f t="shared" si="26"/>
        <v>132.245</v>
      </c>
      <c r="Q92" s="15">
        <f t="shared" si="27"/>
        <v>132.245</v>
      </c>
      <c r="R92" s="15">
        <f t="shared" si="28"/>
        <v>132.245</v>
      </c>
      <c r="S92" s="20">
        <f t="shared" si="29"/>
        <v>132.245</v>
      </c>
      <c r="T92" s="15">
        <f t="shared" si="30"/>
        <v>31.738800000000001</v>
      </c>
    </row>
    <row r="93" spans="1:20" ht="54" customHeight="1" thickBot="1" x14ac:dyDescent="0.3">
      <c r="A93" s="13">
        <f t="shared" si="23"/>
        <v>80</v>
      </c>
      <c r="B93" s="29" t="s">
        <v>438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4">
        <v>3.8</v>
      </c>
      <c r="J93" s="15"/>
      <c r="K93" s="15"/>
      <c r="L93" s="15"/>
      <c r="M93" s="15"/>
      <c r="N93" s="15">
        <f t="shared" si="24"/>
        <v>3.8</v>
      </c>
      <c r="O93" s="15">
        <f t="shared" si="25"/>
        <v>0</v>
      </c>
      <c r="P93" s="15">
        <f t="shared" si="26"/>
        <v>3.8</v>
      </c>
      <c r="Q93" s="15">
        <f t="shared" si="27"/>
        <v>3.8</v>
      </c>
      <c r="R93" s="15">
        <f t="shared" si="28"/>
        <v>4.8099999999999996</v>
      </c>
      <c r="S93" s="20">
        <f t="shared" si="29"/>
        <v>4.8099999999999996</v>
      </c>
      <c r="T93" s="15">
        <f t="shared" si="30"/>
        <v>4.8099999999999996</v>
      </c>
    </row>
    <row r="94" spans="1:20" ht="33" customHeight="1" thickBot="1" x14ac:dyDescent="0.3">
      <c r="A94" s="13">
        <f t="shared" si="23"/>
        <v>81</v>
      </c>
      <c r="B94" s="29" t="s">
        <v>415</v>
      </c>
      <c r="C94" s="84" t="s">
        <v>335</v>
      </c>
      <c r="D94" s="85" t="s">
        <v>318</v>
      </c>
      <c r="E94" s="85">
        <v>16</v>
      </c>
      <c r="F94" s="14">
        <v>0.47</v>
      </c>
      <c r="G94" s="14"/>
      <c r="H94" s="14"/>
      <c r="I94" s="94">
        <v>0.15</v>
      </c>
      <c r="J94" s="15"/>
      <c r="K94" s="15"/>
      <c r="L94" s="15"/>
      <c r="M94" s="15"/>
      <c r="N94" s="15">
        <f t="shared" si="24"/>
        <v>0.15</v>
      </c>
      <c r="O94" s="15">
        <f t="shared" si="25"/>
        <v>0</v>
      </c>
      <c r="P94" s="15">
        <f t="shared" si="26"/>
        <v>0.15</v>
      </c>
      <c r="Q94" s="15">
        <f t="shared" si="27"/>
        <v>0.15</v>
      </c>
      <c r="R94" s="15">
        <f t="shared" si="28"/>
        <v>0.47</v>
      </c>
      <c r="S94" s="20">
        <f t="shared" si="29"/>
        <v>0.47</v>
      </c>
      <c r="T94" s="15">
        <f t="shared" si="30"/>
        <v>7.52</v>
      </c>
    </row>
    <row r="95" spans="1:20" ht="33" customHeight="1" thickBot="1" x14ac:dyDescent="0.3">
      <c r="A95" s="13">
        <f t="shared" si="23"/>
        <v>82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4">
        <v>0.81</v>
      </c>
      <c r="J95" s="15"/>
      <c r="K95" s="15"/>
      <c r="L95" s="15"/>
      <c r="M95" s="15"/>
      <c r="N95" s="15">
        <f t="shared" si="24"/>
        <v>0.81</v>
      </c>
      <c r="O95" s="15">
        <f t="shared" si="25"/>
        <v>0</v>
      </c>
      <c r="P95" s="15">
        <f t="shared" si="26"/>
        <v>0.81</v>
      </c>
      <c r="Q95" s="15">
        <f t="shared" si="27"/>
        <v>0.81</v>
      </c>
      <c r="R95" s="15">
        <f t="shared" si="28"/>
        <v>0.81</v>
      </c>
      <c r="S95" s="20">
        <f t="shared" si="29"/>
        <v>0.81</v>
      </c>
      <c r="T95" s="15">
        <f t="shared" si="30"/>
        <v>12.96</v>
      </c>
    </row>
    <row r="96" spans="1:20" ht="72.75" customHeight="1" thickBot="1" x14ac:dyDescent="0.3">
      <c r="A96" s="13">
        <f t="shared" si="23"/>
        <v>83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4">
        <f>7/10</f>
        <v>0.7</v>
      </c>
      <c r="J96" s="15"/>
      <c r="K96" s="15"/>
      <c r="L96" s="15"/>
      <c r="M96" s="15"/>
      <c r="N96" s="15">
        <f t="shared" si="24"/>
        <v>0.7</v>
      </c>
      <c r="O96" s="15">
        <f t="shared" si="25"/>
        <v>0</v>
      </c>
      <c r="P96" s="15">
        <f t="shared" si="26"/>
        <v>0.7</v>
      </c>
      <c r="Q96" s="15">
        <f t="shared" si="27"/>
        <v>0.7</v>
      </c>
      <c r="R96" s="15">
        <f t="shared" si="28"/>
        <v>0.7</v>
      </c>
      <c r="S96" s="20">
        <f t="shared" si="29"/>
        <v>0.7</v>
      </c>
      <c r="T96" s="15">
        <f t="shared" si="30"/>
        <v>210</v>
      </c>
    </row>
    <row r="97" spans="1:20" ht="48" customHeight="1" thickBot="1" x14ac:dyDescent="0.3">
      <c r="A97" s="13">
        <f t="shared" si="23"/>
        <v>84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4">
        <v>0.2</v>
      </c>
      <c r="J97" s="15"/>
      <c r="K97" s="15"/>
      <c r="L97" s="15"/>
      <c r="M97" s="15"/>
      <c r="N97" s="15">
        <f t="shared" si="24"/>
        <v>0.2</v>
      </c>
      <c r="O97" s="15">
        <f t="shared" si="25"/>
        <v>0</v>
      </c>
      <c r="P97" s="15">
        <f t="shared" si="26"/>
        <v>0.2</v>
      </c>
      <c r="Q97" s="15">
        <f t="shared" si="27"/>
        <v>0.2</v>
      </c>
      <c r="R97" s="15">
        <f t="shared" si="28"/>
        <v>0.2</v>
      </c>
      <c r="S97" s="20">
        <f t="shared" si="29"/>
        <v>0.2</v>
      </c>
      <c r="T97" s="15">
        <f t="shared" si="30"/>
        <v>10</v>
      </c>
    </row>
    <row r="98" spans="1:20" ht="33" customHeight="1" thickBot="1" x14ac:dyDescent="0.3">
      <c r="A98" s="13">
        <f t="shared" si="23"/>
        <v>85</v>
      </c>
      <c r="B98" s="29" t="s">
        <v>416</v>
      </c>
      <c r="C98" s="84" t="s">
        <v>339</v>
      </c>
      <c r="D98" s="85" t="s">
        <v>318</v>
      </c>
      <c r="E98" s="85">
        <v>10</v>
      </c>
      <c r="F98" s="14">
        <v>7.0000000000000007E-2</v>
      </c>
      <c r="G98" s="14"/>
      <c r="H98" s="14"/>
      <c r="I98" s="94">
        <f>6.8/100</f>
        <v>6.8000000000000005E-2</v>
      </c>
      <c r="J98" s="15"/>
      <c r="K98" s="15"/>
      <c r="L98" s="15"/>
      <c r="M98" s="15"/>
      <c r="N98" s="15">
        <f t="shared" si="24"/>
        <v>6.8000000000000005E-2</v>
      </c>
      <c r="O98" s="15">
        <f t="shared" si="25"/>
        <v>0</v>
      </c>
      <c r="P98" s="15">
        <f t="shared" si="26"/>
        <v>6.8000000000000005E-2</v>
      </c>
      <c r="Q98" s="15">
        <f t="shared" si="27"/>
        <v>6.8000000000000005E-2</v>
      </c>
      <c r="R98" s="15">
        <f t="shared" si="28"/>
        <v>7.0000000000000007E-2</v>
      </c>
      <c r="S98" s="20">
        <f t="shared" si="29"/>
        <v>7.0000000000000007E-2</v>
      </c>
      <c r="T98" s="15">
        <f t="shared" si="30"/>
        <v>0.70000000000000007</v>
      </c>
    </row>
    <row r="99" spans="1:20" ht="33" customHeight="1" thickBot="1" x14ac:dyDescent="0.3">
      <c r="A99" s="57" t="s">
        <v>340</v>
      </c>
      <c r="B99" s="58"/>
      <c r="C99" s="58"/>
      <c r="D99" s="58"/>
      <c r="E99" s="59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</row>
    <row r="100" spans="1:20" ht="54" customHeight="1" thickBot="1" x14ac:dyDescent="0.3">
      <c r="A100" s="13">
        <f>88</f>
        <v>88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4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15">
        <f t="shared" ref="T100:T111" si="37">IF(R100&gt;S100,S100*E100,R100*E100)</f>
        <v>1659</v>
      </c>
    </row>
    <row r="101" spans="1:20" ht="57.75" customHeight="1" thickBot="1" x14ac:dyDescent="0.3">
      <c r="A101" s="13">
        <f t="shared" si="23"/>
        <v>89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4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15">
        <f t="shared" si="37"/>
        <v>1659</v>
      </c>
    </row>
    <row r="102" spans="1:20" ht="53.25" customHeight="1" thickBot="1" x14ac:dyDescent="0.3">
      <c r="A102" s="13">
        <f t="shared" si="23"/>
        <v>90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4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15">
        <f t="shared" si="37"/>
        <v>1267</v>
      </c>
    </row>
    <row r="103" spans="1:20" ht="33" customHeight="1" thickBot="1" x14ac:dyDescent="0.3">
      <c r="A103" s="13">
        <f t="shared" si="23"/>
        <v>91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4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15">
        <f t="shared" si="37"/>
        <v>9.5400000000000009</v>
      </c>
    </row>
    <row r="104" spans="1:20" ht="33" customHeight="1" thickBot="1" x14ac:dyDescent="0.3">
      <c r="A104" s="13">
        <f t="shared" si="23"/>
        <v>92</v>
      </c>
      <c r="B104" s="29" t="s">
        <v>417</v>
      </c>
      <c r="C104" s="84" t="s">
        <v>342</v>
      </c>
      <c r="D104" s="85" t="s">
        <v>320</v>
      </c>
      <c r="E104" s="85">
        <v>100</v>
      </c>
      <c r="F104" s="14">
        <v>4.8499999999999996</v>
      </c>
      <c r="G104" s="14"/>
      <c r="H104" s="14"/>
      <c r="I104" s="94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15">
        <f t="shared" si="37"/>
        <v>484.99999999999994</v>
      </c>
    </row>
    <row r="105" spans="1:20" ht="33" customHeight="1" thickBot="1" x14ac:dyDescent="0.3">
      <c r="A105" s="13">
        <f t="shared" si="23"/>
        <v>93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4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15">
        <f t="shared" si="37"/>
        <v>725</v>
      </c>
    </row>
    <row r="106" spans="1:20" ht="33" customHeight="1" thickBot="1" x14ac:dyDescent="0.3">
      <c r="A106" s="13">
        <f t="shared" si="23"/>
        <v>94</v>
      </c>
      <c r="B106" s="29" t="s">
        <v>418</v>
      </c>
      <c r="C106" s="84" t="s">
        <v>344</v>
      </c>
      <c r="D106" s="85" t="s">
        <v>320</v>
      </c>
      <c r="E106" s="85">
        <v>20</v>
      </c>
      <c r="F106" s="14">
        <v>49.31</v>
      </c>
      <c r="G106" s="14"/>
      <c r="H106" s="14"/>
      <c r="I106" s="94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49.31</v>
      </c>
      <c r="S106" s="20">
        <f t="shared" si="36"/>
        <v>49.31</v>
      </c>
      <c r="T106" s="15">
        <f t="shared" si="37"/>
        <v>986.2</v>
      </c>
    </row>
    <row r="107" spans="1:20" ht="33" customHeight="1" thickBot="1" x14ac:dyDescent="0.3">
      <c r="A107" s="13">
        <f t="shared" si="23"/>
        <v>95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4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15">
        <f t="shared" si="37"/>
        <v>35.54</v>
      </c>
    </row>
    <row r="108" spans="1:20" ht="33" customHeight="1" thickBot="1" x14ac:dyDescent="0.3">
      <c r="A108" s="13">
        <f t="shared" si="23"/>
        <v>96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4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15">
        <f t="shared" si="37"/>
        <v>20.190000000000001</v>
      </c>
    </row>
    <row r="109" spans="1:20" ht="33" customHeight="1" thickBot="1" x14ac:dyDescent="0.3">
      <c r="A109" s="13">
        <f t="shared" si="23"/>
        <v>97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4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15">
        <f t="shared" si="37"/>
        <v>28.914999999999999</v>
      </c>
    </row>
    <row r="110" spans="1:20" ht="33" customHeight="1" thickBot="1" x14ac:dyDescent="0.3">
      <c r="A110" s="13">
        <f t="shared" si="23"/>
        <v>98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4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15">
        <f t="shared" si="37"/>
        <v>1.083</v>
      </c>
    </row>
    <row r="111" spans="1:20" ht="33" customHeight="1" thickBot="1" x14ac:dyDescent="0.3">
      <c r="A111" s="13">
        <f t="shared" si="23"/>
        <v>99</v>
      </c>
      <c r="B111" s="29" t="s">
        <v>419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4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15">
        <f t="shared" si="37"/>
        <v>11.95</v>
      </c>
    </row>
    <row r="112" spans="1:20" ht="33" customHeight="1" thickBot="1" x14ac:dyDescent="0.3">
      <c r="A112" s="57" t="s">
        <v>350</v>
      </c>
      <c r="B112" s="58"/>
      <c r="C112" s="58"/>
      <c r="D112" s="58"/>
      <c r="E112" s="59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57.75" customHeight="1" thickBot="1" x14ac:dyDescent="0.3">
      <c r="A113" s="13">
        <f>100</f>
        <v>100</v>
      </c>
      <c r="B113" s="29"/>
      <c r="C113" s="84" t="s">
        <v>351</v>
      </c>
      <c r="D113" s="85" t="s">
        <v>320</v>
      </c>
      <c r="E113" s="85">
        <v>15</v>
      </c>
      <c r="F113" s="94"/>
      <c r="G113" s="14"/>
      <c r="H113" s="14"/>
      <c r="I113" s="94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15">
        <f t="shared" ref="T113:T124" si="44">IF(R113&gt;S113,S113*E113,R113*E113)</f>
        <v>39.626999999999995</v>
      </c>
    </row>
    <row r="114" spans="1:20" ht="61.5" customHeight="1" thickBot="1" x14ac:dyDescent="0.3">
      <c r="A114" s="13">
        <f t="shared" si="23"/>
        <v>101</v>
      </c>
      <c r="B114" s="29"/>
      <c r="C114" s="84" t="s">
        <v>352</v>
      </c>
      <c r="D114" s="85" t="s">
        <v>320</v>
      </c>
      <c r="E114" s="85">
        <v>15</v>
      </c>
      <c r="F114" s="94"/>
      <c r="G114" s="14"/>
      <c r="H114" s="14"/>
      <c r="I114" s="94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15">
        <f t="shared" si="44"/>
        <v>43.5</v>
      </c>
    </row>
    <row r="115" spans="1:20" ht="63" customHeight="1" thickBot="1" x14ac:dyDescent="0.3">
      <c r="A115" s="13">
        <f t="shared" si="23"/>
        <v>102</v>
      </c>
      <c r="B115" s="29"/>
      <c r="C115" s="84" t="s">
        <v>353</v>
      </c>
      <c r="D115" s="85" t="s">
        <v>320</v>
      </c>
      <c r="E115" s="85">
        <v>15</v>
      </c>
      <c r="F115" s="94"/>
      <c r="G115" s="14"/>
      <c r="H115" s="14"/>
      <c r="I115" s="94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15">
        <f t="shared" si="44"/>
        <v>43.5</v>
      </c>
    </row>
    <row r="116" spans="1:20" ht="33" customHeight="1" thickBot="1" x14ac:dyDescent="0.3">
      <c r="A116" s="13">
        <f t="shared" si="23"/>
        <v>103</v>
      </c>
      <c r="B116" s="29"/>
      <c r="C116" s="84" t="s">
        <v>354</v>
      </c>
      <c r="D116" s="85" t="s">
        <v>318</v>
      </c>
      <c r="E116" s="85">
        <v>6</v>
      </c>
      <c r="F116" s="94"/>
      <c r="G116" s="14"/>
      <c r="H116" s="14"/>
      <c r="I116" s="94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15">
        <f t="shared" si="44"/>
        <v>1.881</v>
      </c>
    </row>
    <row r="117" spans="1:20" ht="33" customHeight="1" thickBot="1" x14ac:dyDescent="0.3">
      <c r="A117" s="13">
        <f t="shared" si="23"/>
        <v>104</v>
      </c>
      <c r="B117" s="29"/>
      <c r="C117" s="84" t="s">
        <v>355</v>
      </c>
      <c r="D117" s="85" t="s">
        <v>320</v>
      </c>
      <c r="E117" s="85">
        <v>10</v>
      </c>
      <c r="F117" s="94"/>
      <c r="G117" s="14"/>
      <c r="H117" s="14"/>
      <c r="I117" s="94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15">
        <f t="shared" si="44"/>
        <v>18.799999999999997</v>
      </c>
    </row>
    <row r="118" spans="1:20" ht="33" customHeight="1" thickBot="1" x14ac:dyDescent="0.3">
      <c r="A118" s="13">
        <f t="shared" si="23"/>
        <v>105</v>
      </c>
      <c r="B118" s="29"/>
      <c r="C118" s="84" t="s">
        <v>356</v>
      </c>
      <c r="D118" s="85" t="s">
        <v>318</v>
      </c>
      <c r="E118" s="85">
        <v>2</v>
      </c>
      <c r="F118" s="94"/>
      <c r="G118" s="14"/>
      <c r="H118" s="14"/>
      <c r="I118" s="94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15">
        <f t="shared" si="44"/>
        <v>102.46</v>
      </c>
    </row>
    <row r="119" spans="1:20" ht="33" customHeight="1" thickBot="1" x14ac:dyDescent="0.3">
      <c r="A119" s="13">
        <f t="shared" si="23"/>
        <v>106</v>
      </c>
      <c r="B119" s="29"/>
      <c r="C119" s="84" t="s">
        <v>357</v>
      </c>
      <c r="D119" s="85" t="s">
        <v>320</v>
      </c>
      <c r="E119" s="85">
        <v>1.5</v>
      </c>
      <c r="F119" s="94"/>
      <c r="G119" s="14"/>
      <c r="H119" s="14"/>
      <c r="I119" s="94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15">
        <f t="shared" si="44"/>
        <v>22.98</v>
      </c>
    </row>
    <row r="120" spans="1:20" ht="33" customHeight="1" thickBot="1" x14ac:dyDescent="0.3">
      <c r="A120" s="13">
        <f t="shared" si="23"/>
        <v>107</v>
      </c>
      <c r="B120" s="29" t="s">
        <v>420</v>
      </c>
      <c r="C120" s="84" t="s">
        <v>358</v>
      </c>
      <c r="D120" s="85" t="s">
        <v>318</v>
      </c>
      <c r="E120" s="85">
        <v>4</v>
      </c>
      <c r="F120" s="14">
        <v>2.2599999999999998</v>
      </c>
      <c r="G120" s="14"/>
      <c r="H120" s="14"/>
      <c r="I120" s="94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2.2599999999999998</v>
      </c>
      <c r="S120" s="20">
        <f t="shared" si="43"/>
        <v>2.2599999999999998</v>
      </c>
      <c r="T120" s="15">
        <f t="shared" si="44"/>
        <v>9.0399999999999991</v>
      </c>
    </row>
    <row r="121" spans="1:20" ht="33" customHeight="1" thickBot="1" x14ac:dyDescent="0.3">
      <c r="A121" s="13">
        <f t="shared" si="23"/>
        <v>108</v>
      </c>
      <c r="B121" s="29"/>
      <c r="C121" s="84" t="s">
        <v>359</v>
      </c>
      <c r="D121" s="85" t="s">
        <v>318</v>
      </c>
      <c r="E121" s="85">
        <v>2</v>
      </c>
      <c r="F121" s="94"/>
      <c r="G121" s="14"/>
      <c r="H121" s="14"/>
      <c r="I121" s="94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15">
        <f t="shared" si="44"/>
        <v>16.16</v>
      </c>
    </row>
    <row r="122" spans="1:20" ht="33" customHeight="1" thickBot="1" x14ac:dyDescent="0.3">
      <c r="A122" s="13">
        <f t="shared" si="23"/>
        <v>109</v>
      </c>
      <c r="B122" s="29"/>
      <c r="C122" s="84" t="s">
        <v>360</v>
      </c>
      <c r="D122" s="85" t="s">
        <v>318</v>
      </c>
      <c r="E122" s="85">
        <v>1</v>
      </c>
      <c r="F122" s="94"/>
      <c r="G122" s="14"/>
      <c r="H122" s="14"/>
      <c r="I122" s="94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15">
        <f t="shared" si="44"/>
        <v>0.62020000000000008</v>
      </c>
    </row>
    <row r="123" spans="1:20" ht="33" customHeight="1" thickBot="1" x14ac:dyDescent="0.3">
      <c r="A123" s="13">
        <f t="shared" si="23"/>
        <v>110</v>
      </c>
      <c r="B123" s="29"/>
      <c r="C123" s="84" t="s">
        <v>361</v>
      </c>
      <c r="D123" s="85" t="s">
        <v>318</v>
      </c>
      <c r="E123" s="85">
        <v>2</v>
      </c>
      <c r="F123" s="94"/>
      <c r="G123" s="14"/>
      <c r="H123" s="14"/>
      <c r="I123" s="94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15">
        <f t="shared" si="44"/>
        <v>5.76</v>
      </c>
    </row>
    <row r="124" spans="1:20" ht="33" customHeight="1" thickBot="1" x14ac:dyDescent="0.3">
      <c r="A124" s="13">
        <f t="shared" si="23"/>
        <v>111</v>
      </c>
      <c r="B124" s="29"/>
      <c r="C124" s="84" t="s">
        <v>362</v>
      </c>
      <c r="D124" s="85" t="s">
        <v>320</v>
      </c>
      <c r="E124" s="85">
        <v>5</v>
      </c>
      <c r="F124" s="94"/>
      <c r="G124" s="14"/>
      <c r="H124" s="14"/>
      <c r="I124" s="94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15">
        <f t="shared" si="44"/>
        <v>63.099999999999994</v>
      </c>
    </row>
    <row r="125" spans="1:20" ht="33" customHeight="1" thickBot="1" x14ac:dyDescent="0.3">
      <c r="A125" s="57" t="s">
        <v>364</v>
      </c>
      <c r="B125" s="58"/>
      <c r="C125" s="58"/>
      <c r="D125" s="58"/>
      <c r="E125" s="59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</row>
    <row r="126" spans="1:20" ht="40.5" customHeight="1" thickBot="1" x14ac:dyDescent="0.3">
      <c r="A126" s="13">
        <f>112</f>
        <v>112</v>
      </c>
      <c r="B126" s="29" t="s">
        <v>421</v>
      </c>
      <c r="C126" s="84" t="s">
        <v>365</v>
      </c>
      <c r="D126" s="85" t="s">
        <v>366</v>
      </c>
      <c r="E126" s="85">
        <f>100*0.7*0.2+10*0.7*0.2</f>
        <v>15.4</v>
      </c>
      <c r="F126" s="14">
        <v>74.41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74.41</v>
      </c>
      <c r="S126" s="20">
        <f t="shared" ref="S126:S131" si="50">IF(F126&gt;0,F126,IF(G126&gt;0,G126,IF(H126&gt;0,H126,MEDIAN(I126:M126))))</f>
        <v>74.41</v>
      </c>
      <c r="T126" s="15">
        <f t="shared" ref="T126:T131" si="51">IF(R126&gt;S126,S126*E126,R126*E126)</f>
        <v>1145.914</v>
      </c>
    </row>
    <row r="127" spans="1:20" ht="50.25" customHeight="1" thickBot="1" x14ac:dyDescent="0.3">
      <c r="A127" s="13">
        <f t="shared" si="23"/>
        <v>113</v>
      </c>
      <c r="B127" s="29" t="s">
        <v>422</v>
      </c>
      <c r="C127" s="84" t="s">
        <v>367</v>
      </c>
      <c r="D127" s="85" t="s">
        <v>368</v>
      </c>
      <c r="E127" s="85">
        <f>100*0.2+10*0.2</f>
        <v>22</v>
      </c>
      <c r="F127" s="14">
        <v>5.49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5.49</v>
      </c>
      <c r="S127" s="20">
        <f t="shared" si="50"/>
        <v>5.49</v>
      </c>
      <c r="T127" s="15">
        <f t="shared" si="51"/>
        <v>120.78</v>
      </c>
    </row>
    <row r="128" spans="1:20" ht="52.5" customHeight="1" thickBot="1" x14ac:dyDescent="0.3">
      <c r="A128" s="13">
        <f t="shared" si="23"/>
        <v>114</v>
      </c>
      <c r="B128" s="29" t="s">
        <v>423</v>
      </c>
      <c r="C128" s="84" t="s">
        <v>369</v>
      </c>
      <c r="D128" s="85" t="s">
        <v>366</v>
      </c>
      <c r="E128" s="85">
        <f>100*0.7*0.2+10*0.7*0.2</f>
        <v>15.4</v>
      </c>
      <c r="F128" s="14">
        <v>11.62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11.62</v>
      </c>
      <c r="S128" s="20">
        <f t="shared" si="50"/>
        <v>11.62</v>
      </c>
      <c r="T128" s="15">
        <f t="shared" si="51"/>
        <v>178.94799999999998</v>
      </c>
    </row>
    <row r="129" spans="1:23" ht="33" customHeight="1" thickBot="1" x14ac:dyDescent="0.3">
      <c r="A129" s="13">
        <f t="shared" si="23"/>
        <v>115</v>
      </c>
      <c r="B129" s="29" t="s">
        <v>424</v>
      </c>
      <c r="C129" s="84" t="s">
        <v>370</v>
      </c>
      <c r="D129" s="85" t="s">
        <v>371</v>
      </c>
      <c r="E129" s="85">
        <v>4</v>
      </c>
      <c r="F129" s="14">
        <v>24.86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24.86</v>
      </c>
      <c r="S129" s="20">
        <f t="shared" si="50"/>
        <v>24.86</v>
      </c>
      <c r="T129" s="15">
        <f t="shared" si="51"/>
        <v>99.44</v>
      </c>
    </row>
    <row r="130" spans="1:23" ht="33" customHeight="1" thickBot="1" x14ac:dyDescent="0.3">
      <c r="A130" s="13">
        <f t="shared" si="23"/>
        <v>116</v>
      </c>
      <c r="B130" s="29" t="s">
        <v>425</v>
      </c>
      <c r="C130" s="84" t="s">
        <v>372</v>
      </c>
      <c r="D130" s="85" t="s">
        <v>371</v>
      </c>
      <c r="E130" s="85">
        <v>8</v>
      </c>
      <c r="F130" s="14">
        <v>23.84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23.84</v>
      </c>
      <c r="S130" s="20">
        <f t="shared" si="50"/>
        <v>23.84</v>
      </c>
      <c r="T130" s="15">
        <f t="shared" si="51"/>
        <v>190.72</v>
      </c>
    </row>
    <row r="131" spans="1:23" ht="33" customHeight="1" thickBot="1" x14ac:dyDescent="0.3">
      <c r="A131" s="13">
        <f t="shared" si="23"/>
        <v>117</v>
      </c>
      <c r="B131" s="29" t="s">
        <v>426</v>
      </c>
      <c r="C131" s="84" t="s">
        <v>373</v>
      </c>
      <c r="D131" s="85" t="s">
        <v>371</v>
      </c>
      <c r="E131" s="85">
        <f>4+8</f>
        <v>12</v>
      </c>
      <c r="F131" s="14">
        <v>20.04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20.04</v>
      </c>
      <c r="S131" s="20">
        <f t="shared" si="50"/>
        <v>20.04</v>
      </c>
      <c r="T131" s="15">
        <f t="shared" si="51"/>
        <v>240.48</v>
      </c>
    </row>
    <row r="132" spans="1:23" s="12" customFormat="1" ht="26.25" thickBot="1" x14ac:dyDescent="0.4">
      <c r="A132" s="108" t="s">
        <v>212</v>
      </c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10"/>
      <c r="T132" s="36">
        <f>SUM(T11:T131)</f>
        <v>30337.786200000017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471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8"/>
      <c r="L135" s="8"/>
      <c r="M135" s="8"/>
      <c r="N135" s="8"/>
      <c r="O135" s="8"/>
      <c r="P135" s="8"/>
      <c r="Q135" s="8"/>
      <c r="R135" s="11"/>
      <c r="S135" s="50"/>
      <c r="T135" s="26"/>
    </row>
    <row r="136" spans="1:23" ht="18.75" x14ac:dyDescent="0.25">
      <c r="A136" s="112" t="s">
        <v>451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A137:J137"/>
    <mergeCell ref="A6:T6"/>
    <mergeCell ref="A5:T5"/>
    <mergeCell ref="A135:J135"/>
    <mergeCell ref="R8:R9"/>
    <mergeCell ref="N8:N9"/>
    <mergeCell ref="O8:O9"/>
    <mergeCell ref="Q8:Q9"/>
    <mergeCell ref="T8:T9"/>
    <mergeCell ref="A136:I136"/>
    <mergeCell ref="S8:S9"/>
    <mergeCell ref="A132:S132"/>
    <mergeCell ref="I8:M8"/>
    <mergeCell ref="P8:P9"/>
    <mergeCell ref="F8:H8"/>
    <mergeCell ref="A10:E10"/>
    <mergeCell ref="A8:A9"/>
    <mergeCell ref="C8:C9"/>
    <mergeCell ref="D8:D9"/>
    <mergeCell ref="E8:E9"/>
    <mergeCell ref="B8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1266825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6"/>
  <sheetViews>
    <sheetView view="pageBreakPreview" zoomScale="90" zoomScaleNormal="30" zoomScaleSheetLayoutView="90" workbookViewId="0"/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466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53" t="s">
        <v>5</v>
      </c>
      <c r="G9" s="53" t="s">
        <v>278</v>
      </c>
      <c r="H9" s="54" t="s">
        <v>8</v>
      </c>
      <c r="I9" s="92" t="s">
        <v>428</v>
      </c>
      <c r="J9" s="52" t="s">
        <v>211</v>
      </c>
      <c r="K9" s="52" t="s">
        <v>208</v>
      </c>
      <c r="L9" s="52" t="s">
        <v>209</v>
      </c>
      <c r="M9" s="52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192</v>
      </c>
      <c r="D11" s="21" t="s">
        <v>135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193</v>
      </c>
      <c r="D12" s="21" t="s">
        <v>136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2" si="7">A12+1</f>
        <v>3</v>
      </c>
      <c r="B13" s="13">
        <v>9501</v>
      </c>
      <c r="C13" s="23" t="s">
        <v>194</v>
      </c>
      <c r="D13" s="21" t="s">
        <v>138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140</v>
      </c>
      <c r="D14" s="21" t="s">
        <v>135</v>
      </c>
      <c r="E14" s="24">
        <v>48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141</v>
      </c>
      <c r="D15" s="21" t="s">
        <v>135</v>
      </c>
      <c r="E15" s="24">
        <v>48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142</v>
      </c>
      <c r="D16" s="21" t="s">
        <v>135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195</v>
      </c>
      <c r="D18" s="21" t="s">
        <v>135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196</v>
      </c>
      <c r="D19" s="21" t="s">
        <v>135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197</v>
      </c>
      <c r="D20" s="21" t="s">
        <v>135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312</v>
      </c>
      <c r="D21" s="21" t="s">
        <v>135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199</v>
      </c>
      <c r="D22" s="21" t="s">
        <v>135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310</v>
      </c>
      <c r="C23" s="18" t="s">
        <v>150</v>
      </c>
      <c r="D23" s="21" t="s">
        <v>135</v>
      </c>
      <c r="E23" s="65">
        <v>1</v>
      </c>
      <c r="F23" s="14"/>
      <c r="G23" s="14">
        <v>53.83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53.83</v>
      </c>
      <c r="S23" s="20">
        <f t="shared" si="5"/>
        <v>53.83</v>
      </c>
      <c r="T23" s="15">
        <f t="shared" si="6"/>
        <v>53.83</v>
      </c>
    </row>
    <row r="24" spans="1:20" ht="21" customHeight="1" thickBot="1" x14ac:dyDescent="0.3">
      <c r="A24" s="13">
        <f t="shared" si="7"/>
        <v>14</v>
      </c>
      <c r="B24" s="13" t="s">
        <v>429</v>
      </c>
      <c r="C24" s="18" t="s">
        <v>151</v>
      </c>
      <c r="D24" s="21" t="s">
        <v>135</v>
      </c>
      <c r="E24" s="21">
        <v>1</v>
      </c>
      <c r="F24" s="14">
        <v>67.56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67.56</v>
      </c>
      <c r="S24" s="20">
        <f t="shared" si="5"/>
        <v>67.56</v>
      </c>
      <c r="T24" s="15">
        <f t="shared" si="6"/>
        <v>67.56</v>
      </c>
    </row>
    <row r="25" spans="1:20" ht="28.5" customHeight="1" thickBot="1" x14ac:dyDescent="0.3">
      <c r="A25" s="13">
        <f t="shared" si="7"/>
        <v>15</v>
      </c>
      <c r="B25" s="13" t="s">
        <v>395</v>
      </c>
      <c r="C25" s="18" t="s">
        <v>152</v>
      </c>
      <c r="D25" s="21" t="s">
        <v>135</v>
      </c>
      <c r="E25" s="21">
        <v>9</v>
      </c>
      <c r="F25" s="14">
        <v>0.74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0.74</v>
      </c>
      <c r="S25" s="20">
        <f t="shared" si="5"/>
        <v>0.74</v>
      </c>
      <c r="T25" s="15">
        <f t="shared" si="6"/>
        <v>6.66</v>
      </c>
    </row>
    <row r="26" spans="1:20" ht="22.5" customHeight="1" thickBot="1" x14ac:dyDescent="0.3">
      <c r="A26" s="13">
        <f t="shared" si="7"/>
        <v>16</v>
      </c>
      <c r="B26" s="13" t="s">
        <v>396</v>
      </c>
      <c r="C26" s="18" t="s">
        <v>153</v>
      </c>
      <c r="D26" s="21" t="s">
        <v>154</v>
      </c>
      <c r="E26" s="21">
        <v>1</v>
      </c>
      <c r="F26" s="14">
        <v>20.010000000000002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20.010000000000002</v>
      </c>
      <c r="S26" s="20">
        <f t="shared" si="5"/>
        <v>20.010000000000002</v>
      </c>
      <c r="T26" s="15">
        <f t="shared" si="6"/>
        <v>20.010000000000002</v>
      </c>
    </row>
    <row r="27" spans="1:20" ht="23.25" customHeight="1" thickBot="1" x14ac:dyDescent="0.3">
      <c r="A27" s="13">
        <f t="shared" si="7"/>
        <v>17</v>
      </c>
      <c r="B27" s="13" t="s">
        <v>397</v>
      </c>
      <c r="C27" s="18" t="s">
        <v>155</v>
      </c>
      <c r="D27" s="21" t="s">
        <v>156</v>
      </c>
      <c r="E27" s="21">
        <v>1</v>
      </c>
      <c r="F27" s="14">
        <f>3/2</f>
        <v>1.5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1.5</v>
      </c>
      <c r="S27" s="20">
        <f t="shared" si="5"/>
        <v>1.5</v>
      </c>
      <c r="T27" s="15">
        <f t="shared" si="6"/>
        <v>1.5</v>
      </c>
    </row>
    <row r="28" spans="1:20" ht="24.75" customHeight="1" thickBot="1" x14ac:dyDescent="0.3">
      <c r="A28" s="13">
        <f t="shared" si="7"/>
        <v>18</v>
      </c>
      <c r="B28" s="13"/>
      <c r="C28" s="18" t="s">
        <v>200</v>
      </c>
      <c r="D28" s="21" t="s">
        <v>135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201</v>
      </c>
      <c r="D29" s="21" t="s">
        <v>135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160</v>
      </c>
      <c r="D30" s="21" t="s">
        <v>135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161</v>
      </c>
      <c r="D31" s="21" t="s">
        <v>135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162</v>
      </c>
      <c r="D32" s="21" t="s">
        <v>135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163</v>
      </c>
      <c r="D33" s="21" t="s">
        <v>136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164</v>
      </c>
      <c r="D34" s="21" t="s">
        <v>135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165</v>
      </c>
      <c r="D35" s="21" t="s">
        <v>135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166</v>
      </c>
      <c r="D36" s="21" t="s">
        <v>135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430</v>
      </c>
      <c r="C37" s="18" t="s">
        <v>167</v>
      </c>
      <c r="D37" s="21" t="s">
        <v>135</v>
      </c>
      <c r="E37" s="21">
        <v>2</v>
      </c>
      <c r="F37" s="14">
        <v>12.1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12.1</v>
      </c>
      <c r="S37" s="20">
        <f t="shared" si="5"/>
        <v>12.1</v>
      </c>
      <c r="T37" s="15">
        <f t="shared" si="6"/>
        <v>24.2</v>
      </c>
    </row>
    <row r="38" spans="1:20" ht="24.75" customHeight="1" thickBot="1" x14ac:dyDescent="0.3">
      <c r="A38" s="13">
        <f t="shared" si="7"/>
        <v>28</v>
      </c>
      <c r="B38" s="13" t="s">
        <v>398</v>
      </c>
      <c r="C38" s="18" t="s">
        <v>168</v>
      </c>
      <c r="D38" s="21" t="s">
        <v>135</v>
      </c>
      <c r="E38" s="21">
        <v>1</v>
      </c>
      <c r="F38" s="22">
        <v>43.54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43.54</v>
      </c>
      <c r="S38" s="20">
        <f t="shared" si="5"/>
        <v>43.54</v>
      </c>
      <c r="T38" s="15">
        <f t="shared" si="6"/>
        <v>43.54</v>
      </c>
    </row>
    <row r="39" spans="1:20" ht="25.5" customHeight="1" thickBot="1" x14ac:dyDescent="0.3">
      <c r="A39" s="13">
        <f t="shared" si="7"/>
        <v>29</v>
      </c>
      <c r="B39" s="13"/>
      <c r="C39" s="18" t="s">
        <v>169</v>
      </c>
      <c r="D39" s="21" t="s">
        <v>135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311</v>
      </c>
      <c r="D40" s="21" t="s">
        <v>135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202</v>
      </c>
      <c r="D41" s="21" t="s">
        <v>135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203</v>
      </c>
      <c r="D42" s="21" t="s">
        <v>135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204</v>
      </c>
      <c r="D43" s="21" t="s">
        <v>135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205</v>
      </c>
      <c r="D44" s="21" t="s">
        <v>135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/>
      <c r="C45" s="18" t="s">
        <v>175</v>
      </c>
      <c r="D45" s="21" t="s">
        <v>135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176</v>
      </c>
      <c r="D46" s="21" t="s">
        <v>135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402</v>
      </c>
      <c r="C47" s="18" t="s">
        <v>177</v>
      </c>
      <c r="D47" s="21" t="s">
        <v>135</v>
      </c>
      <c r="E47" s="21">
        <v>4</v>
      </c>
      <c r="F47" s="14">
        <v>39.58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39.58</v>
      </c>
      <c r="S47" s="20">
        <f t="shared" si="5"/>
        <v>39.58</v>
      </c>
      <c r="T47" s="15">
        <f t="shared" si="6"/>
        <v>158.32</v>
      </c>
    </row>
    <row r="48" spans="1:20" ht="27" customHeight="1" thickBot="1" x14ac:dyDescent="0.3">
      <c r="A48" s="13">
        <f t="shared" si="7"/>
        <v>38</v>
      </c>
      <c r="B48" s="13"/>
      <c r="C48" s="18" t="s">
        <v>178</v>
      </c>
      <c r="D48" s="21" t="s">
        <v>136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403</v>
      </c>
      <c r="C49" s="18" t="s">
        <v>179</v>
      </c>
      <c r="D49" s="21" t="s">
        <v>135</v>
      </c>
      <c r="E49" s="21">
        <v>3</v>
      </c>
      <c r="F49" s="14">
        <v>3.43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3.43</v>
      </c>
      <c r="S49" s="20">
        <f t="shared" si="5"/>
        <v>3.43</v>
      </c>
      <c r="T49" s="15">
        <f t="shared" si="6"/>
        <v>10.290000000000001</v>
      </c>
    </row>
    <row r="50" spans="1:21" ht="29.25" customHeight="1" thickBot="1" x14ac:dyDescent="0.3">
      <c r="A50" s="13">
        <f t="shared" si="7"/>
        <v>40</v>
      </c>
      <c r="B50" s="13" t="s">
        <v>405</v>
      </c>
      <c r="C50" s="18" t="s">
        <v>181</v>
      </c>
      <c r="D50" s="21" t="s">
        <v>135</v>
      </c>
      <c r="E50" s="21">
        <v>1</v>
      </c>
      <c r="F50" s="14">
        <v>235.24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235.24</v>
      </c>
      <c r="S50" s="20">
        <f t="shared" si="5"/>
        <v>235.24</v>
      </c>
      <c r="T50" s="15">
        <f t="shared" si="6"/>
        <v>235.24</v>
      </c>
    </row>
    <row r="51" spans="1:21" ht="24.75" customHeight="1" thickBot="1" x14ac:dyDescent="0.3">
      <c r="A51" s="13">
        <f t="shared" si="7"/>
        <v>41</v>
      </c>
      <c r="B51" s="13" t="s">
        <v>404</v>
      </c>
      <c r="C51" s="18" t="s">
        <v>180</v>
      </c>
      <c r="D51" s="21" t="s">
        <v>135</v>
      </c>
      <c r="E51" s="21">
        <v>3</v>
      </c>
      <c r="F51" s="14">
        <v>1.86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1.86</v>
      </c>
      <c r="S51" s="20">
        <f t="shared" si="5"/>
        <v>1.86</v>
      </c>
      <c r="T51" s="15">
        <f t="shared" si="6"/>
        <v>5.58</v>
      </c>
    </row>
    <row r="52" spans="1:21" ht="112.5" customHeight="1" thickBot="1" x14ac:dyDescent="0.3">
      <c r="A52" s="13">
        <f t="shared" si="7"/>
        <v>42</v>
      </c>
      <c r="B52" s="13" t="s">
        <v>406</v>
      </c>
      <c r="C52" s="18" t="s">
        <v>206</v>
      </c>
      <c r="D52" s="21" t="s">
        <v>135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363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409</v>
      </c>
      <c r="C54" s="18" t="s">
        <v>185</v>
      </c>
      <c r="D54" s="21" t="s">
        <v>135</v>
      </c>
      <c r="E54" s="21">
        <v>0.5</v>
      </c>
      <c r="F54" s="14">
        <f>0.66*25</f>
        <v>16.5</v>
      </c>
      <c r="G54" s="14"/>
      <c r="H54" s="14"/>
      <c r="I54" s="14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16.5</v>
      </c>
      <c r="S54" s="20">
        <f t="shared" ref="S54:S62" si="13">IF(F54&gt;0,F54,IF(G54&gt;0,G54,IF(H54&gt;0,H54,MEDIAN(I54:M54))))</f>
        <v>16.5</v>
      </c>
      <c r="T54" s="15">
        <f t="shared" ref="T54:T62" si="14">IF(R54&gt;S54,S54*E54,R54*E54)</f>
        <v>8.25</v>
      </c>
    </row>
    <row r="55" spans="1:21" ht="24.75" customHeight="1" thickBot="1" x14ac:dyDescent="0.3">
      <c r="A55" s="13">
        <f t="shared" ref="A55:A62" si="15">A54+1</f>
        <v>44</v>
      </c>
      <c r="B55" s="29" t="s">
        <v>410</v>
      </c>
      <c r="C55" s="18" t="s">
        <v>186</v>
      </c>
      <c r="D55" s="21" t="s">
        <v>135</v>
      </c>
      <c r="E55" s="21">
        <v>3</v>
      </c>
      <c r="F55" s="14"/>
      <c r="G55" s="14">
        <f>131.31/100</f>
        <v>1.3130999999999999</v>
      </c>
      <c r="H55" s="14"/>
      <c r="I55" s="14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1.3130999999999999</v>
      </c>
      <c r="S55" s="20">
        <f t="shared" si="13"/>
        <v>1.3130999999999999</v>
      </c>
      <c r="T55" s="15">
        <f t="shared" si="14"/>
        <v>3.9392999999999998</v>
      </c>
    </row>
    <row r="56" spans="1:21" ht="25.5" customHeight="1" thickBot="1" x14ac:dyDescent="0.3">
      <c r="A56" s="13">
        <f t="shared" si="15"/>
        <v>45</v>
      </c>
      <c r="B56" s="29" t="s">
        <v>411</v>
      </c>
      <c r="C56" s="18" t="s">
        <v>187</v>
      </c>
      <c r="D56" s="21" t="s">
        <v>135</v>
      </c>
      <c r="E56" s="21">
        <v>2</v>
      </c>
      <c r="F56" s="14"/>
      <c r="G56" s="14">
        <f>139.27/50</f>
        <v>2.7854000000000001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2.7854000000000001</v>
      </c>
      <c r="S56" s="20">
        <f t="shared" si="13"/>
        <v>2.7854000000000001</v>
      </c>
      <c r="T56" s="15">
        <f t="shared" si="14"/>
        <v>5.5708000000000002</v>
      </c>
    </row>
    <row r="57" spans="1:21" ht="27" customHeight="1" thickBot="1" x14ac:dyDescent="0.3">
      <c r="A57" s="13">
        <f t="shared" si="15"/>
        <v>46</v>
      </c>
      <c r="B57" s="29"/>
      <c r="C57" s="18" t="s">
        <v>188</v>
      </c>
      <c r="D57" s="21" t="s">
        <v>135</v>
      </c>
      <c r="E57" s="21">
        <v>3</v>
      </c>
      <c r="F57" s="14"/>
      <c r="G57" s="14"/>
      <c r="H57" s="14"/>
      <c r="I57" s="14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189</v>
      </c>
      <c r="D58" s="21" t="s">
        <v>135</v>
      </c>
      <c r="E58" s="21">
        <v>8</v>
      </c>
      <c r="F58" s="14"/>
      <c r="G58" s="14">
        <v>0.55000000000000004</v>
      </c>
      <c r="H58" s="14"/>
      <c r="I58" s="14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0.55000000000000004</v>
      </c>
      <c r="S58" s="20">
        <f t="shared" si="13"/>
        <v>0.55000000000000004</v>
      </c>
      <c r="T58" s="15">
        <f t="shared" si="14"/>
        <v>4.4000000000000004</v>
      </c>
    </row>
    <row r="59" spans="1:21" ht="26.25" customHeight="1" thickBot="1" x14ac:dyDescent="0.3">
      <c r="A59" s="13">
        <f t="shared" si="15"/>
        <v>48</v>
      </c>
      <c r="B59" s="29" t="s">
        <v>413</v>
      </c>
      <c r="C59" s="18" t="s">
        <v>190</v>
      </c>
      <c r="D59" s="21" t="s">
        <v>154</v>
      </c>
      <c r="E59" s="21">
        <v>1</v>
      </c>
      <c r="F59" s="14"/>
      <c r="G59" s="14">
        <v>16.399999999999999</v>
      </c>
      <c r="H59" s="14"/>
      <c r="I59" s="14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16.399999999999999</v>
      </c>
      <c r="S59" s="20">
        <f t="shared" si="13"/>
        <v>16.399999999999999</v>
      </c>
      <c r="T59" s="15">
        <f t="shared" si="14"/>
        <v>16.399999999999999</v>
      </c>
    </row>
    <row r="60" spans="1:21" ht="47.25" customHeight="1" thickBot="1" x14ac:dyDescent="0.3">
      <c r="A60" s="13">
        <f t="shared" si="15"/>
        <v>49</v>
      </c>
      <c r="B60" s="29" t="s">
        <v>414</v>
      </c>
      <c r="C60" s="18" t="s">
        <v>191</v>
      </c>
      <c r="D60" s="21" t="s">
        <v>135</v>
      </c>
      <c r="E60" s="21">
        <v>1</v>
      </c>
      <c r="F60" s="14">
        <v>54.4</v>
      </c>
      <c r="G60" s="14"/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54.4</v>
      </c>
      <c r="S60" s="20">
        <f t="shared" si="13"/>
        <v>54.4</v>
      </c>
      <c r="T60" s="15">
        <f t="shared" si="14"/>
        <v>54.4</v>
      </c>
    </row>
    <row r="61" spans="1:21" ht="58.5" customHeight="1" thickBot="1" x14ac:dyDescent="0.3">
      <c r="A61" s="13">
        <f t="shared" si="15"/>
        <v>50</v>
      </c>
      <c r="B61" s="81" t="s">
        <v>307</v>
      </c>
      <c r="C61" s="18" t="s">
        <v>131</v>
      </c>
      <c r="D61" s="21" t="s">
        <v>132</v>
      </c>
      <c r="E61" s="21">
        <v>16</v>
      </c>
      <c r="F61" s="14">
        <v>22.7</v>
      </c>
      <c r="G61" s="22"/>
      <c r="H61" s="22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308</v>
      </c>
      <c r="C62" s="18" t="s">
        <v>133</v>
      </c>
      <c r="D62" s="21" t="s">
        <v>132</v>
      </c>
      <c r="E62" s="21">
        <v>32</v>
      </c>
      <c r="F62" s="14"/>
      <c r="G62" s="22"/>
      <c r="H62" s="22">
        <v>18.89</v>
      </c>
      <c r="I62" s="22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315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316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3.5" customHeight="1" thickBot="1" x14ac:dyDescent="0.3">
      <c r="A65" s="13">
        <f>52</f>
        <v>52</v>
      </c>
      <c r="B65" s="29"/>
      <c r="C65" s="84" t="s">
        <v>439</v>
      </c>
      <c r="D65" s="85" t="s">
        <v>318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67" si="23">A65+1</f>
        <v>53</v>
      </c>
      <c r="B66" s="29"/>
      <c r="C66" s="84" t="s">
        <v>375</v>
      </c>
      <c r="D66" s="85" t="s">
        <v>320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440</v>
      </c>
      <c r="D67" s="85" t="s">
        <v>320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6" t="s">
        <v>340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55</f>
        <v>55</v>
      </c>
      <c r="B69" s="29"/>
      <c r="C69" s="84" t="s">
        <v>441</v>
      </c>
      <c r="D69" s="85" t="s">
        <v>320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ref="A70:A75" si="31">A69+1</f>
        <v>56</v>
      </c>
      <c r="B70" s="29"/>
      <c r="C70" s="84" t="s">
        <v>442</v>
      </c>
      <c r="D70" s="85" t="s">
        <v>320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31"/>
        <v>57</v>
      </c>
      <c r="B71" s="29"/>
      <c r="C71" s="84" t="s">
        <v>443</v>
      </c>
      <c r="D71" s="85" t="s">
        <v>320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31"/>
        <v>58</v>
      </c>
      <c r="B72" s="29" t="s">
        <v>444</v>
      </c>
      <c r="C72" s="84" t="s">
        <v>445</v>
      </c>
      <c r="D72" s="85" t="s">
        <v>318</v>
      </c>
      <c r="E72" s="85">
        <v>50</v>
      </c>
      <c r="F72" s="14"/>
      <c r="G72" s="14"/>
      <c r="H72" s="14">
        <v>3.69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3.69</v>
      </c>
      <c r="S72" s="20">
        <f t="shared" si="29"/>
        <v>3.69</v>
      </c>
      <c r="T72" s="15">
        <f t="shared" si="30"/>
        <v>184.5</v>
      </c>
    </row>
    <row r="73" spans="1:20" ht="30" customHeight="1" thickBot="1" x14ac:dyDescent="0.3">
      <c r="A73" s="13">
        <f t="shared" si="31"/>
        <v>59</v>
      </c>
      <c r="B73" s="29"/>
      <c r="C73" s="84" t="s">
        <v>343</v>
      </c>
      <c r="D73" s="85" t="s">
        <v>320</v>
      </c>
      <c r="E73" s="85">
        <v>3</v>
      </c>
      <c r="F73" s="14"/>
      <c r="G73" s="14"/>
      <c r="H73" s="14"/>
      <c r="I73" s="93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31"/>
        <v>60</v>
      </c>
      <c r="B74" s="29" t="s">
        <v>446</v>
      </c>
      <c r="C74" s="84" t="s">
        <v>447</v>
      </c>
      <c r="D74" s="85" t="s">
        <v>318</v>
      </c>
      <c r="E74" s="85">
        <v>2</v>
      </c>
      <c r="F74" s="14"/>
      <c r="G74" s="14"/>
      <c r="H74" s="14">
        <v>1.62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1.62</v>
      </c>
      <c r="S74" s="20">
        <f t="shared" si="29"/>
        <v>1.62</v>
      </c>
      <c r="T74" s="15">
        <f t="shared" si="30"/>
        <v>3.24</v>
      </c>
    </row>
    <row r="75" spans="1:20" ht="43.5" customHeight="1" thickBot="1" x14ac:dyDescent="0.3">
      <c r="A75" s="13">
        <f t="shared" si="31"/>
        <v>61</v>
      </c>
      <c r="B75" s="29" t="s">
        <v>448</v>
      </c>
      <c r="C75" s="84" t="s">
        <v>449</v>
      </c>
      <c r="D75" s="85" t="s">
        <v>320</v>
      </c>
      <c r="E75" s="85">
        <v>1</v>
      </c>
      <c r="F75" s="14">
        <v>4.03</v>
      </c>
      <c r="G75" s="14"/>
      <c r="H75" s="14"/>
      <c r="I75" s="15"/>
      <c r="J75" s="15"/>
      <c r="K75" s="15"/>
      <c r="L75" s="15"/>
      <c r="M75" s="15"/>
      <c r="N75" s="15" t="e">
        <f t="shared" si="24"/>
        <v>#DIV/0!</v>
      </c>
      <c r="O75" s="15" t="e">
        <f t="shared" si="25"/>
        <v>#DIV/0!</v>
      </c>
      <c r="P75" s="15" t="e">
        <f t="shared" si="26"/>
        <v>#DIV/0!</v>
      </c>
      <c r="Q75" s="15" t="e">
        <f t="shared" si="27"/>
        <v>#DIV/0!</v>
      </c>
      <c r="R75" s="15">
        <f t="shared" si="28"/>
        <v>4.03</v>
      </c>
      <c r="S75" s="20">
        <f t="shared" si="29"/>
        <v>4.03</v>
      </c>
      <c r="T75" s="15">
        <f t="shared" si="30"/>
        <v>4.03</v>
      </c>
    </row>
    <row r="76" spans="1:20" ht="28.5" customHeight="1" thickBot="1" x14ac:dyDescent="0.3">
      <c r="A76" s="86" t="s">
        <v>350</v>
      </c>
      <c r="B76" s="86"/>
      <c r="C76" s="86"/>
      <c r="D76" s="86"/>
      <c r="E76" s="86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62</f>
        <v>62</v>
      </c>
      <c r="B77" s="29" t="s">
        <v>437</v>
      </c>
      <c r="C77" s="84" t="s">
        <v>376</v>
      </c>
      <c r="D77" s="85" t="s">
        <v>320</v>
      </c>
      <c r="E77" s="85">
        <v>10</v>
      </c>
      <c r="F77" s="14">
        <v>7.94</v>
      </c>
      <c r="G77" s="14"/>
      <c r="H77" s="14"/>
      <c r="I77" s="15"/>
      <c r="J77" s="15"/>
      <c r="K77" s="15"/>
      <c r="L77" s="15"/>
      <c r="M77" s="15"/>
      <c r="N77" s="15" t="e">
        <f t="shared" ref="N77:N84" si="32">AVERAGE(I77:M77)</f>
        <v>#DIV/0!</v>
      </c>
      <c r="O77" s="15" t="e">
        <f t="shared" ref="O77:O84" si="33">STDEVPA(I77:M77)</f>
        <v>#DIV/0!</v>
      </c>
      <c r="P77" s="15" t="e">
        <f t="shared" ref="P77:P84" si="34">N77+O77</f>
        <v>#DIV/0!</v>
      </c>
      <c r="Q77" s="15" t="e">
        <f t="shared" ref="Q77:Q84" si="35">N77-O77</f>
        <v>#DIV/0!</v>
      </c>
      <c r="R77" s="15">
        <f t="shared" ref="R77:R84" si="36">IF(F77&gt;0,F77,IF(G77&gt;0,G77,IF(H77&gt;0,H77,AVERAGEIFS(I77:M77,I77:M77,"&gt;="&amp;Q77,I77:M77,"&lt;="&amp;P77))))</f>
        <v>7.94</v>
      </c>
      <c r="S77" s="20">
        <f t="shared" ref="S77:S84" si="37">IF(F77&gt;0,F77,IF(G77&gt;0,G77,IF(H77&gt;0,H77,MEDIAN(I77:M77))))</f>
        <v>7.94</v>
      </c>
      <c r="T77" s="15">
        <f t="shared" ref="T77:T84" si="38">IF(R77&gt;S77,S77*E77,R77*E77)</f>
        <v>79.400000000000006</v>
      </c>
    </row>
    <row r="78" spans="1:20" ht="63.75" customHeight="1" thickBot="1" x14ac:dyDescent="0.3">
      <c r="A78" s="13">
        <f t="shared" ref="A78:A84" si="39">A77+1</f>
        <v>63</v>
      </c>
      <c r="B78" s="29" t="s">
        <v>450</v>
      </c>
      <c r="C78" s="84" t="s">
        <v>379</v>
      </c>
      <c r="D78" s="85" t="s">
        <v>320</v>
      </c>
      <c r="E78" s="85">
        <v>1</v>
      </c>
      <c r="F78" s="14"/>
      <c r="G78" s="14"/>
      <c r="H78" s="14">
        <v>3.95</v>
      </c>
      <c r="I78" s="15"/>
      <c r="J78" s="15"/>
      <c r="K78" s="15"/>
      <c r="L78" s="15"/>
      <c r="M78" s="15"/>
      <c r="N78" s="15" t="e">
        <f t="shared" si="32"/>
        <v>#DIV/0!</v>
      </c>
      <c r="O78" s="15" t="e">
        <f t="shared" si="33"/>
        <v>#DIV/0!</v>
      </c>
      <c r="P78" s="15" t="e">
        <f t="shared" si="34"/>
        <v>#DIV/0!</v>
      </c>
      <c r="Q78" s="15" t="e">
        <f t="shared" si="35"/>
        <v>#DIV/0!</v>
      </c>
      <c r="R78" s="15">
        <f t="shared" si="36"/>
        <v>3.95</v>
      </c>
      <c r="S78" s="20">
        <f t="shared" si="37"/>
        <v>3.95</v>
      </c>
      <c r="T78" s="15">
        <f t="shared" si="38"/>
        <v>3.95</v>
      </c>
    </row>
    <row r="79" spans="1:20" ht="60" customHeight="1" thickBot="1" x14ac:dyDescent="0.3">
      <c r="A79" s="13">
        <f t="shared" si="39"/>
        <v>64</v>
      </c>
      <c r="B79" s="29" t="s">
        <v>420</v>
      </c>
      <c r="C79" s="84" t="s">
        <v>380</v>
      </c>
      <c r="D79" s="85" t="s">
        <v>320</v>
      </c>
      <c r="E79" s="85">
        <v>2</v>
      </c>
      <c r="F79" s="14">
        <v>2.2599999999999998</v>
      </c>
      <c r="G79" s="14"/>
      <c r="H79" s="14"/>
      <c r="I79" s="15"/>
      <c r="J79" s="15"/>
      <c r="K79" s="15"/>
      <c r="L79" s="15"/>
      <c r="M79" s="15"/>
      <c r="N79" s="15" t="e">
        <f t="shared" si="32"/>
        <v>#DIV/0!</v>
      </c>
      <c r="O79" s="15" t="e">
        <f t="shared" si="33"/>
        <v>#DIV/0!</v>
      </c>
      <c r="P79" s="15" t="e">
        <f t="shared" si="34"/>
        <v>#DIV/0!</v>
      </c>
      <c r="Q79" s="15" t="e">
        <f t="shared" si="35"/>
        <v>#DIV/0!</v>
      </c>
      <c r="R79" s="15">
        <f t="shared" si="36"/>
        <v>2.2599999999999998</v>
      </c>
      <c r="S79" s="20">
        <f t="shared" si="37"/>
        <v>2.2599999999999998</v>
      </c>
      <c r="T79" s="15">
        <f t="shared" si="38"/>
        <v>4.5199999999999996</v>
      </c>
    </row>
    <row r="80" spans="1:20" ht="43.5" customHeight="1" thickBot="1" x14ac:dyDescent="0.3">
      <c r="A80" s="13">
        <f t="shared" si="39"/>
        <v>65</v>
      </c>
      <c r="B80" s="29"/>
      <c r="C80" s="84" t="s">
        <v>354</v>
      </c>
      <c r="D80" s="85" t="s">
        <v>318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2"/>
        <v>0.3135</v>
      </c>
      <c r="O80" s="15">
        <f t="shared" si="33"/>
        <v>0</v>
      </c>
      <c r="P80" s="15">
        <f t="shared" si="34"/>
        <v>0.3135</v>
      </c>
      <c r="Q80" s="15">
        <f t="shared" si="35"/>
        <v>0.3135</v>
      </c>
      <c r="R80" s="15">
        <f t="shared" si="36"/>
        <v>0.3135</v>
      </c>
      <c r="S80" s="20">
        <f t="shared" si="37"/>
        <v>0.3135</v>
      </c>
      <c r="T80" s="15">
        <f t="shared" si="38"/>
        <v>0.9405</v>
      </c>
    </row>
    <row r="81" spans="1:23" ht="43.5" customHeight="1" thickBot="1" x14ac:dyDescent="0.3">
      <c r="A81" s="13">
        <f t="shared" si="39"/>
        <v>66</v>
      </c>
      <c r="B81" s="29"/>
      <c r="C81" s="84" t="s">
        <v>355</v>
      </c>
      <c r="D81" s="85" t="s">
        <v>320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2"/>
        <v>1.88</v>
      </c>
      <c r="O81" s="15">
        <f t="shared" si="33"/>
        <v>0</v>
      </c>
      <c r="P81" s="15">
        <f t="shared" si="34"/>
        <v>1.88</v>
      </c>
      <c r="Q81" s="15">
        <f t="shared" si="35"/>
        <v>1.88</v>
      </c>
      <c r="R81" s="15">
        <f t="shared" si="36"/>
        <v>1.88</v>
      </c>
      <c r="S81" s="20">
        <f t="shared" si="37"/>
        <v>1.88</v>
      </c>
      <c r="T81" s="15">
        <f t="shared" si="38"/>
        <v>18.799999999999997</v>
      </c>
    </row>
    <row r="82" spans="1:23" ht="43.5" customHeight="1" thickBot="1" x14ac:dyDescent="0.3">
      <c r="A82" s="13">
        <f t="shared" si="39"/>
        <v>67</v>
      </c>
      <c r="B82" s="29"/>
      <c r="C82" s="84" t="s">
        <v>359</v>
      </c>
      <c r="D82" s="85" t="s">
        <v>318</v>
      </c>
      <c r="E82" s="85">
        <v>1</v>
      </c>
      <c r="F82" s="93"/>
      <c r="G82" s="14"/>
      <c r="H82" s="14"/>
      <c r="I82" s="15">
        <v>8.08</v>
      </c>
      <c r="J82" s="15"/>
      <c r="K82" s="15"/>
      <c r="L82" s="15"/>
      <c r="M82" s="15"/>
      <c r="N82" s="15">
        <f t="shared" si="32"/>
        <v>8.08</v>
      </c>
      <c r="O82" s="15">
        <f t="shared" si="33"/>
        <v>0</v>
      </c>
      <c r="P82" s="15">
        <f t="shared" si="34"/>
        <v>8.08</v>
      </c>
      <c r="Q82" s="15">
        <f t="shared" si="35"/>
        <v>8.08</v>
      </c>
      <c r="R82" s="15">
        <f t="shared" si="36"/>
        <v>8.08</v>
      </c>
      <c r="S82" s="20">
        <f t="shared" si="37"/>
        <v>8.08</v>
      </c>
      <c r="T82" s="15">
        <f t="shared" si="38"/>
        <v>8.08</v>
      </c>
    </row>
    <row r="83" spans="1:23" ht="43.5" customHeight="1" thickBot="1" x14ac:dyDescent="0.3">
      <c r="A83" s="13">
        <f t="shared" si="39"/>
        <v>68</v>
      </c>
      <c r="B83" s="29"/>
      <c r="C83" s="84" t="s">
        <v>360</v>
      </c>
      <c r="D83" s="85" t="s">
        <v>320</v>
      </c>
      <c r="E83" s="85">
        <v>2</v>
      </c>
      <c r="F83" s="93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2"/>
        <v>0.62020000000000008</v>
      </c>
      <c r="O83" s="15">
        <f t="shared" si="33"/>
        <v>0</v>
      </c>
      <c r="P83" s="15">
        <f t="shared" si="34"/>
        <v>0.62020000000000008</v>
      </c>
      <c r="Q83" s="15">
        <f t="shared" si="35"/>
        <v>0.62020000000000008</v>
      </c>
      <c r="R83" s="15">
        <f t="shared" si="36"/>
        <v>0.62020000000000008</v>
      </c>
      <c r="S83" s="20">
        <f t="shared" si="37"/>
        <v>0.62020000000000008</v>
      </c>
      <c r="T83" s="15">
        <f t="shared" si="38"/>
        <v>1.2404000000000002</v>
      </c>
    </row>
    <row r="84" spans="1:23" ht="43.5" customHeight="1" thickBot="1" x14ac:dyDescent="0.3">
      <c r="A84" s="13">
        <f t="shared" si="39"/>
        <v>69</v>
      </c>
      <c r="B84" s="29"/>
      <c r="C84" s="84" t="s">
        <v>361</v>
      </c>
      <c r="D84" s="85" t="s">
        <v>318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2"/>
        <v>2.88</v>
      </c>
      <c r="O84" s="15">
        <f t="shared" si="33"/>
        <v>0</v>
      </c>
      <c r="P84" s="15">
        <f t="shared" si="34"/>
        <v>2.88</v>
      </c>
      <c r="Q84" s="15">
        <f t="shared" si="35"/>
        <v>2.88</v>
      </c>
      <c r="R84" s="15">
        <f t="shared" si="36"/>
        <v>2.88</v>
      </c>
      <c r="S84" s="20">
        <f t="shared" si="37"/>
        <v>2.88</v>
      </c>
      <c r="T84" s="15">
        <f t="shared" si="38"/>
        <v>2.88</v>
      </c>
    </row>
    <row r="85" spans="1:23" ht="29.25" customHeight="1" thickBot="1" x14ac:dyDescent="0.3">
      <c r="A85" s="86" t="s">
        <v>364</v>
      </c>
      <c r="B85" s="86"/>
      <c r="C85" s="86"/>
      <c r="D85" s="86"/>
      <c r="E85" s="86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70</f>
        <v>70</v>
      </c>
      <c r="B86" s="29" t="s">
        <v>421</v>
      </c>
      <c r="C86" s="84" t="s">
        <v>365</v>
      </c>
      <c r="D86" s="85" t="s">
        <v>366</v>
      </c>
      <c r="E86" s="85">
        <v>8.4</v>
      </c>
      <c r="F86" s="14">
        <v>74.41</v>
      </c>
      <c r="G86" s="14"/>
      <c r="H86" s="14"/>
      <c r="I86" s="15"/>
      <c r="J86" s="15"/>
      <c r="K86" s="15"/>
      <c r="L86" s="15"/>
      <c r="M86" s="15"/>
      <c r="N86" s="15" t="e">
        <f t="shared" ref="N86:N90" si="40">AVERAGE(I86:M86)</f>
        <v>#DIV/0!</v>
      </c>
      <c r="O86" s="15" t="e">
        <f t="shared" ref="O86:O90" si="41">STDEVPA(I86:M86)</f>
        <v>#DIV/0!</v>
      </c>
      <c r="P86" s="15" t="e">
        <f t="shared" ref="P86:P90" si="42">N86+O86</f>
        <v>#DIV/0!</v>
      </c>
      <c r="Q86" s="15" t="e">
        <f t="shared" ref="Q86:Q90" si="43">N86-O86</f>
        <v>#DIV/0!</v>
      </c>
      <c r="R86" s="15">
        <f t="shared" ref="R86:R90" si="44">IF(F86&gt;0,F86,IF(G86&gt;0,G86,IF(H86&gt;0,H86,AVERAGEIFS(I86:M86,I86:M86,"&gt;="&amp;Q86,I86:M86,"&lt;="&amp;P86))))</f>
        <v>74.41</v>
      </c>
      <c r="S86" s="20">
        <f t="shared" ref="S86:S90" si="45">IF(F86&gt;0,F86,IF(G86&gt;0,G86,IF(H86&gt;0,H86,MEDIAN(I86:M86))))</f>
        <v>74.41</v>
      </c>
      <c r="T86" s="15">
        <f t="shared" ref="T86:T90" si="46">IF(R86&gt;S86,S86*E86,R86*E86)</f>
        <v>625.04399999999998</v>
      </c>
    </row>
    <row r="87" spans="1:23" ht="43.5" customHeight="1" thickBot="1" x14ac:dyDescent="0.3">
      <c r="A87" s="13">
        <f t="shared" ref="A87:A90" si="47">A86+1</f>
        <v>71</v>
      </c>
      <c r="B87" s="29" t="s">
        <v>422</v>
      </c>
      <c r="C87" s="84" t="s">
        <v>367</v>
      </c>
      <c r="D87" s="85" t="s">
        <v>368</v>
      </c>
      <c r="E87" s="85">
        <v>12</v>
      </c>
      <c r="F87" s="14">
        <v>5.49</v>
      </c>
      <c r="G87" s="14"/>
      <c r="H87" s="14"/>
      <c r="I87" s="15"/>
      <c r="J87" s="15"/>
      <c r="K87" s="15"/>
      <c r="L87" s="15"/>
      <c r="M87" s="15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5.49</v>
      </c>
      <c r="S87" s="20">
        <f t="shared" si="45"/>
        <v>5.49</v>
      </c>
      <c r="T87" s="15">
        <f t="shared" si="46"/>
        <v>65.88</v>
      </c>
    </row>
    <row r="88" spans="1:23" ht="66" customHeight="1" thickBot="1" x14ac:dyDescent="0.3">
      <c r="A88" s="13">
        <f t="shared" si="47"/>
        <v>72</v>
      </c>
      <c r="B88" s="29" t="s">
        <v>423</v>
      </c>
      <c r="C88" s="84" t="s">
        <v>369</v>
      </c>
      <c r="D88" s="85" t="s">
        <v>366</v>
      </c>
      <c r="E88" s="85">
        <v>8.4</v>
      </c>
      <c r="F88" s="14">
        <v>11.62</v>
      </c>
      <c r="G88" s="14"/>
      <c r="H88" s="14"/>
      <c r="I88" s="15"/>
      <c r="J88" s="15"/>
      <c r="K88" s="15"/>
      <c r="L88" s="15"/>
      <c r="M88" s="15"/>
      <c r="N88" s="15" t="e">
        <f t="shared" si="40"/>
        <v>#DIV/0!</v>
      </c>
      <c r="O88" s="15" t="e">
        <f t="shared" si="41"/>
        <v>#DIV/0!</v>
      </c>
      <c r="P88" s="15" t="e">
        <f t="shared" si="42"/>
        <v>#DIV/0!</v>
      </c>
      <c r="Q88" s="15" t="e">
        <f t="shared" si="43"/>
        <v>#DIV/0!</v>
      </c>
      <c r="R88" s="15">
        <f t="shared" si="44"/>
        <v>11.62</v>
      </c>
      <c r="S88" s="20">
        <f t="shared" si="45"/>
        <v>11.62</v>
      </c>
      <c r="T88" s="15">
        <f t="shared" si="46"/>
        <v>97.608000000000004</v>
      </c>
    </row>
    <row r="89" spans="1:23" ht="28.5" customHeight="1" thickBot="1" x14ac:dyDescent="0.3">
      <c r="A89" s="13">
        <f t="shared" si="47"/>
        <v>73</v>
      </c>
      <c r="B89" s="29" t="s">
        <v>425</v>
      </c>
      <c r="C89" s="84" t="s">
        <v>372</v>
      </c>
      <c r="D89" s="85" t="s">
        <v>371</v>
      </c>
      <c r="E89" s="85">
        <v>4</v>
      </c>
      <c r="F89" s="14">
        <v>23.84</v>
      </c>
      <c r="G89" s="14"/>
      <c r="H89" s="14"/>
      <c r="I89" s="15"/>
      <c r="J89" s="15"/>
      <c r="K89" s="15"/>
      <c r="L89" s="15"/>
      <c r="M89" s="15"/>
      <c r="N89" s="15" t="e">
        <f t="shared" si="40"/>
        <v>#DIV/0!</v>
      </c>
      <c r="O89" s="15" t="e">
        <f t="shared" si="41"/>
        <v>#DIV/0!</v>
      </c>
      <c r="P89" s="15" t="e">
        <f t="shared" si="42"/>
        <v>#DIV/0!</v>
      </c>
      <c r="Q89" s="15" t="e">
        <f t="shared" si="43"/>
        <v>#DIV/0!</v>
      </c>
      <c r="R89" s="15">
        <f t="shared" si="44"/>
        <v>23.84</v>
      </c>
      <c r="S89" s="20">
        <f t="shared" si="45"/>
        <v>23.84</v>
      </c>
      <c r="T89" s="15">
        <f t="shared" si="46"/>
        <v>95.36</v>
      </c>
    </row>
    <row r="90" spans="1:23" ht="43.5" customHeight="1" thickBot="1" x14ac:dyDescent="0.3">
      <c r="A90" s="13">
        <f t="shared" si="47"/>
        <v>74</v>
      </c>
      <c r="B90" s="29" t="s">
        <v>426</v>
      </c>
      <c r="C90" s="84" t="s">
        <v>373</v>
      </c>
      <c r="D90" s="85" t="s">
        <v>371</v>
      </c>
      <c r="E90" s="85">
        <v>4</v>
      </c>
      <c r="F90" s="14">
        <v>20.04</v>
      </c>
      <c r="G90" s="14"/>
      <c r="H90" s="14"/>
      <c r="I90" s="15"/>
      <c r="J90" s="15"/>
      <c r="K90" s="15"/>
      <c r="L90" s="15"/>
      <c r="M90" s="15"/>
      <c r="N90" s="15" t="e">
        <f t="shared" si="40"/>
        <v>#DIV/0!</v>
      </c>
      <c r="O90" s="15" t="e">
        <f t="shared" si="41"/>
        <v>#DIV/0!</v>
      </c>
      <c r="P90" s="15" t="e">
        <f t="shared" si="42"/>
        <v>#DIV/0!</v>
      </c>
      <c r="Q90" s="15" t="e">
        <f t="shared" si="43"/>
        <v>#DIV/0!</v>
      </c>
      <c r="R90" s="15">
        <f t="shared" si="44"/>
        <v>20.04</v>
      </c>
      <c r="S90" s="20">
        <f t="shared" si="45"/>
        <v>20.04</v>
      </c>
      <c r="T90" s="15">
        <f t="shared" si="46"/>
        <v>80.16</v>
      </c>
    </row>
    <row r="91" spans="1:23" s="12" customFormat="1" ht="26.25" thickBot="1" x14ac:dyDescent="0.4">
      <c r="A91" s="113" t="s">
        <v>212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36">
        <f>SUM(T11:T90)</f>
        <v>18067.900600000008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2" t="s">
        <v>471</v>
      </c>
      <c r="B94" s="112"/>
      <c r="C94" s="112"/>
      <c r="D94" s="112"/>
      <c r="E94" s="112"/>
      <c r="F94" s="112"/>
      <c r="G94" s="112"/>
      <c r="H94" s="112"/>
      <c r="I94" s="112"/>
      <c r="J94" s="112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2" t="s">
        <v>451</v>
      </c>
      <c r="B95" s="112"/>
      <c r="C95" s="112"/>
      <c r="D95" s="112"/>
      <c r="E95" s="112"/>
      <c r="F95" s="112"/>
      <c r="G95" s="112"/>
      <c r="H95" s="112"/>
      <c r="I95" s="112"/>
    </row>
    <row r="96" spans="1:23" x14ac:dyDescent="0.25">
      <c r="A96" s="112"/>
      <c r="B96" s="112"/>
      <c r="C96" s="112"/>
      <c r="D96" s="112"/>
      <c r="E96" s="112"/>
      <c r="F96" s="112"/>
      <c r="G96" s="112"/>
      <c r="H96" s="112"/>
      <c r="I96" s="112"/>
      <c r="J96" s="112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  <mergeCell ref="A94:J94"/>
    <mergeCell ref="A95:I95"/>
    <mergeCell ref="A96:J96"/>
    <mergeCell ref="A10:E10"/>
    <mergeCell ref="A91:S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1533525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7"/>
  <sheetViews>
    <sheetView view="pageBreakPreview" zoomScale="120" zoomScaleNormal="30" zoomScaleSheetLayoutView="120" workbookViewId="0">
      <selection activeCell="C8" sqref="C8:C9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467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61" t="s">
        <v>5</v>
      </c>
      <c r="G9" s="61" t="s">
        <v>278</v>
      </c>
      <c r="H9" s="62" t="s">
        <v>8</v>
      </c>
      <c r="I9" s="92" t="s">
        <v>428</v>
      </c>
      <c r="J9" s="60" t="s">
        <v>211</v>
      </c>
      <c r="K9" s="60" t="s">
        <v>208</v>
      </c>
      <c r="L9" s="60" t="s">
        <v>209</v>
      </c>
      <c r="M9" s="60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137</v>
      </c>
      <c r="D12" s="21" t="s">
        <v>138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139</v>
      </c>
      <c r="D13" s="21" t="s">
        <v>138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217</v>
      </c>
      <c r="D14" s="21" t="s">
        <v>135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218</v>
      </c>
      <c r="D15" s="21" t="s">
        <v>135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219</v>
      </c>
      <c r="D16" s="21" t="s">
        <v>135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144</v>
      </c>
      <c r="D18" s="21" t="s">
        <v>135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399</v>
      </c>
      <c r="C19" s="18" t="s">
        <v>170</v>
      </c>
      <c r="D19" s="21" t="s">
        <v>135</v>
      </c>
      <c r="E19" s="21">
        <v>1</v>
      </c>
      <c r="F19" s="14">
        <v>4.82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4.82</v>
      </c>
      <c r="S19" s="20">
        <f t="shared" si="5"/>
        <v>4.82</v>
      </c>
      <c r="T19" s="15">
        <f t="shared" si="6"/>
        <v>4.82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431</v>
      </c>
      <c r="C21" s="18" t="s">
        <v>220</v>
      </c>
      <c r="D21" s="21" t="s">
        <v>135</v>
      </c>
      <c r="E21" s="64">
        <v>1</v>
      </c>
      <c r="F21" s="14">
        <v>13.46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13.46</v>
      </c>
      <c r="S21" s="20">
        <f t="shared" si="5"/>
        <v>13.46</v>
      </c>
      <c r="T21" s="15">
        <f t="shared" si="6"/>
        <v>13.46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146</v>
      </c>
      <c r="D22" s="21" t="s">
        <v>135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432</v>
      </c>
      <c r="C23" s="18" t="s">
        <v>147</v>
      </c>
      <c r="D23" s="21" t="s">
        <v>135</v>
      </c>
      <c r="E23" s="65">
        <v>32</v>
      </c>
      <c r="F23" s="14">
        <v>4.54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4.54</v>
      </c>
      <c r="S23" s="20">
        <f t="shared" si="5"/>
        <v>4.54</v>
      </c>
      <c r="T23" s="15">
        <f t="shared" si="6"/>
        <v>145.28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148</v>
      </c>
      <c r="D24" s="21" t="s">
        <v>135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149</v>
      </c>
      <c r="D25" s="21" t="s">
        <v>135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310</v>
      </c>
      <c r="C26" s="18" t="s">
        <v>150</v>
      </c>
      <c r="D26" s="21" t="s">
        <v>135</v>
      </c>
      <c r="E26" s="21">
        <v>1</v>
      </c>
      <c r="F26" s="14"/>
      <c r="G26" s="14">
        <v>53.83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53.83</v>
      </c>
      <c r="S26" s="20">
        <f t="shared" si="5"/>
        <v>53.83</v>
      </c>
      <c r="T26" s="15">
        <f t="shared" si="6"/>
        <v>53.83</v>
      </c>
    </row>
    <row r="27" spans="1:20" ht="23.25" customHeight="1" thickBot="1" x14ac:dyDescent="0.3">
      <c r="A27" s="13">
        <f t="shared" si="7"/>
        <v>17</v>
      </c>
      <c r="B27" s="13" t="s">
        <v>429</v>
      </c>
      <c r="C27" s="18" t="s">
        <v>151</v>
      </c>
      <c r="D27" s="21" t="s">
        <v>135</v>
      </c>
      <c r="E27" s="21">
        <v>1</v>
      </c>
      <c r="F27" s="14"/>
      <c r="G27" s="14">
        <v>67.56</v>
      </c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67.56</v>
      </c>
      <c r="S27" s="20">
        <f t="shared" si="5"/>
        <v>67.56</v>
      </c>
      <c r="T27" s="15">
        <f t="shared" si="6"/>
        <v>67.56</v>
      </c>
    </row>
    <row r="28" spans="1:20" ht="24.75" customHeight="1" thickBot="1" x14ac:dyDescent="0.3">
      <c r="A28" s="13">
        <f t="shared" si="7"/>
        <v>18</v>
      </c>
      <c r="B28" s="13" t="s">
        <v>395</v>
      </c>
      <c r="C28" s="18" t="s">
        <v>152</v>
      </c>
      <c r="D28" s="21" t="s">
        <v>135</v>
      </c>
      <c r="E28" s="21">
        <v>9</v>
      </c>
      <c r="F28" s="14">
        <v>0.74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0.74</v>
      </c>
      <c r="S28" s="20">
        <f t="shared" si="5"/>
        <v>0.74</v>
      </c>
      <c r="T28" s="15">
        <f t="shared" si="6"/>
        <v>6.66</v>
      </c>
    </row>
    <row r="29" spans="1:20" ht="16.5" thickBot="1" x14ac:dyDescent="0.3">
      <c r="A29" s="13">
        <f t="shared" si="7"/>
        <v>19</v>
      </c>
      <c r="B29" s="13" t="s">
        <v>396</v>
      </c>
      <c r="C29" s="18" t="s">
        <v>153</v>
      </c>
      <c r="D29" s="21" t="s">
        <v>154</v>
      </c>
      <c r="E29" s="21">
        <v>1</v>
      </c>
      <c r="F29" s="14">
        <v>20.010000000000002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20.010000000000002</v>
      </c>
      <c r="S29" s="20">
        <f t="shared" si="5"/>
        <v>20.010000000000002</v>
      </c>
      <c r="T29" s="15">
        <f t="shared" si="6"/>
        <v>20.010000000000002</v>
      </c>
    </row>
    <row r="30" spans="1:20" ht="24" customHeight="1" thickBot="1" x14ac:dyDescent="0.3">
      <c r="A30" s="13">
        <f t="shared" si="7"/>
        <v>20</v>
      </c>
      <c r="B30" s="13" t="s">
        <v>397</v>
      </c>
      <c r="C30" s="18" t="s">
        <v>155</v>
      </c>
      <c r="D30" s="21" t="s">
        <v>156</v>
      </c>
      <c r="E30" s="21">
        <v>1</v>
      </c>
      <c r="F30" s="14">
        <f>3/2</f>
        <v>1.5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1.5</v>
      </c>
      <c r="S30" s="20">
        <f t="shared" si="5"/>
        <v>1.5</v>
      </c>
      <c r="T30" s="15">
        <f t="shared" si="6"/>
        <v>1.5</v>
      </c>
    </row>
    <row r="31" spans="1:20" ht="22.5" customHeight="1" thickBot="1" x14ac:dyDescent="0.3">
      <c r="A31" s="13">
        <f t="shared" si="7"/>
        <v>21</v>
      </c>
      <c r="B31" s="13"/>
      <c r="C31" s="18" t="s">
        <v>157</v>
      </c>
      <c r="D31" s="21" t="s">
        <v>135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158</v>
      </c>
      <c r="D32" s="21" t="s">
        <v>135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433</v>
      </c>
      <c r="C33" s="18" t="s">
        <v>159</v>
      </c>
      <c r="D33" s="21" t="s">
        <v>135</v>
      </c>
      <c r="E33" s="21">
        <v>1</v>
      </c>
      <c r="F33" s="14">
        <v>94.57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94.57</v>
      </c>
      <c r="S33" s="20">
        <f t="shared" si="5"/>
        <v>94.57</v>
      </c>
      <c r="T33" s="15">
        <f t="shared" si="6"/>
        <v>94.57</v>
      </c>
    </row>
    <row r="34" spans="1:20" ht="24.75" customHeight="1" thickBot="1" x14ac:dyDescent="0.3">
      <c r="A34" s="13">
        <f t="shared" si="7"/>
        <v>24</v>
      </c>
      <c r="B34" s="13"/>
      <c r="C34" s="18" t="s">
        <v>160</v>
      </c>
      <c r="D34" s="21" t="s">
        <v>135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161</v>
      </c>
      <c r="D35" s="21" t="s">
        <v>135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162</v>
      </c>
      <c r="D36" s="21" t="s">
        <v>135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163</v>
      </c>
      <c r="D37" s="21" t="s">
        <v>136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164</v>
      </c>
      <c r="D38" s="21" t="s">
        <v>135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165</v>
      </c>
      <c r="D39" s="21" t="s">
        <v>135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166</v>
      </c>
      <c r="D40" s="21" t="s">
        <v>135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/>
      <c r="C41" s="18" t="s">
        <v>167</v>
      </c>
      <c r="D41" s="21" t="s">
        <v>135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/>
      <c r="C42" s="18" t="s">
        <v>168</v>
      </c>
      <c r="D42" s="21" t="s">
        <v>135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169</v>
      </c>
      <c r="D43" s="21" t="s">
        <v>135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221</v>
      </c>
      <c r="D44" s="21" t="s">
        <v>135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/>
      <c r="C45" s="18" t="s">
        <v>172</v>
      </c>
      <c r="D45" s="21" t="s">
        <v>135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222</v>
      </c>
      <c r="D47" s="21" t="s">
        <v>135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401</v>
      </c>
      <c r="C48" s="18" t="s">
        <v>175</v>
      </c>
      <c r="D48" s="21" t="s">
        <v>135</v>
      </c>
      <c r="E48" s="21">
        <v>5</v>
      </c>
      <c r="F48" s="14">
        <v>2.2000000000000002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2.2000000000000002</v>
      </c>
      <c r="S48" s="20">
        <f t="shared" si="5"/>
        <v>2.2000000000000002</v>
      </c>
      <c r="T48" s="15">
        <f t="shared" si="6"/>
        <v>11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402</v>
      </c>
      <c r="C50" s="18" t="s">
        <v>177</v>
      </c>
      <c r="D50" s="21" t="s">
        <v>135</v>
      </c>
      <c r="E50" s="21">
        <v>4</v>
      </c>
      <c r="F50" s="14">
        <v>39.58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39.58</v>
      </c>
      <c r="S50" s="20">
        <f t="shared" si="5"/>
        <v>39.58</v>
      </c>
      <c r="T50" s="15">
        <f t="shared" si="6"/>
        <v>158.32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/>
      <c r="C52" s="18" t="s">
        <v>180</v>
      </c>
      <c r="D52" s="21" t="s">
        <v>135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403</v>
      </c>
      <c r="C53" s="18" t="s">
        <v>179</v>
      </c>
      <c r="D53" s="21" t="s">
        <v>135</v>
      </c>
      <c r="E53" s="21">
        <v>3</v>
      </c>
      <c r="F53" s="14">
        <v>3.43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3.43</v>
      </c>
      <c r="S53" s="20">
        <f t="shared" si="13"/>
        <v>3.43</v>
      </c>
      <c r="T53" s="15">
        <f t="shared" si="14"/>
        <v>10.290000000000001</v>
      </c>
    </row>
    <row r="54" spans="1:20" ht="24.75" customHeight="1" thickBot="1" x14ac:dyDescent="0.3">
      <c r="A54" s="13">
        <f t="shared" si="7"/>
        <v>44</v>
      </c>
      <c r="B54" s="13" t="s">
        <v>405</v>
      </c>
      <c r="C54" s="18" t="s">
        <v>181</v>
      </c>
      <c r="D54" s="21" t="s">
        <v>135</v>
      </c>
      <c r="E54" s="21">
        <v>1</v>
      </c>
      <c r="F54" s="14">
        <v>235.24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235.24</v>
      </c>
      <c r="S54" s="20">
        <f t="shared" si="13"/>
        <v>235.24</v>
      </c>
      <c r="T54" s="15">
        <f t="shared" si="14"/>
        <v>235.24</v>
      </c>
    </row>
    <row r="55" spans="1:20" ht="24.75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223</v>
      </c>
      <c r="D56" s="21" t="s">
        <v>135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406</v>
      </c>
      <c r="C57" s="18" t="s">
        <v>206</v>
      </c>
      <c r="D57" s="21" t="s">
        <v>135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363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43</f>
        <v>43</v>
      </c>
      <c r="B59" s="29" t="s">
        <v>409</v>
      </c>
      <c r="C59" s="18" t="s">
        <v>185</v>
      </c>
      <c r="D59" s="21" t="s">
        <v>135</v>
      </c>
      <c r="E59" s="21">
        <v>1</v>
      </c>
      <c r="F59" s="14">
        <f>0.66*25</f>
        <v>16.5</v>
      </c>
      <c r="G59" s="14"/>
      <c r="H59" s="14"/>
      <c r="I59" s="15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16.5</v>
      </c>
      <c r="S59" s="20">
        <f t="shared" ref="S59:S67" si="20">IF(F59&gt;0,F59,IF(G59&gt;0,G59,IF(H59&gt;0,H59,MEDIAN(I59:M59))))</f>
        <v>16.5</v>
      </c>
      <c r="T59" s="15">
        <f t="shared" ref="T59:T67" si="21">IF(R59&gt;S59,S59*E59,R59*E59)</f>
        <v>16.5</v>
      </c>
    </row>
    <row r="60" spans="1:20" ht="24.75" customHeight="1" thickBot="1" x14ac:dyDescent="0.3">
      <c r="A60" s="13">
        <f>A59+1</f>
        <v>44</v>
      </c>
      <c r="B60" s="29" t="s">
        <v>410</v>
      </c>
      <c r="C60" s="18" t="s">
        <v>186</v>
      </c>
      <c r="D60" s="21" t="s">
        <v>135</v>
      </c>
      <c r="E60" s="21">
        <v>5</v>
      </c>
      <c r="F60" s="14"/>
      <c r="G60" s="93">
        <f>131.31/100</f>
        <v>1.3130999999999999</v>
      </c>
      <c r="H60" s="14"/>
      <c r="I60" s="15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1.3130999999999999</v>
      </c>
      <c r="S60" s="20">
        <f t="shared" si="20"/>
        <v>1.3130999999999999</v>
      </c>
      <c r="T60" s="15">
        <f t="shared" si="21"/>
        <v>6.5655000000000001</v>
      </c>
    </row>
    <row r="61" spans="1:20" ht="25.5" customHeight="1" thickBot="1" x14ac:dyDescent="0.3">
      <c r="A61" s="13">
        <f t="shared" ref="A61:A67" si="22">A60+1</f>
        <v>45</v>
      </c>
      <c r="B61" s="29" t="s">
        <v>411</v>
      </c>
      <c r="C61" s="18" t="s">
        <v>187</v>
      </c>
      <c r="D61" s="21" t="s">
        <v>135</v>
      </c>
      <c r="E61" s="21">
        <v>4</v>
      </c>
      <c r="F61" s="14"/>
      <c r="G61" s="93">
        <f>139.27/50</f>
        <v>2.7854000000000001</v>
      </c>
      <c r="H61" s="14"/>
      <c r="I61" s="15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2.7854000000000001</v>
      </c>
      <c r="S61" s="20">
        <f t="shared" si="20"/>
        <v>2.7854000000000001</v>
      </c>
      <c r="T61" s="15">
        <f t="shared" si="21"/>
        <v>11.1416</v>
      </c>
    </row>
    <row r="62" spans="1:20" ht="27" customHeight="1" thickBot="1" x14ac:dyDescent="0.3">
      <c r="A62" s="13">
        <f t="shared" si="22"/>
        <v>46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5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47</v>
      </c>
      <c r="B63" s="29"/>
      <c r="C63" s="18" t="s">
        <v>189</v>
      </c>
      <c r="D63" s="21" t="s">
        <v>135</v>
      </c>
      <c r="E63" s="21">
        <v>8</v>
      </c>
      <c r="F63" s="14"/>
      <c r="G63" s="93">
        <v>0.55000000000000004</v>
      </c>
      <c r="H63" s="14"/>
      <c r="I63" s="15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0.55000000000000004</v>
      </c>
      <c r="S63" s="20">
        <f t="shared" si="20"/>
        <v>0.55000000000000004</v>
      </c>
      <c r="T63" s="15">
        <f t="shared" si="21"/>
        <v>4.4000000000000004</v>
      </c>
    </row>
    <row r="64" spans="1:20" ht="26.25" customHeight="1" thickBot="1" x14ac:dyDescent="0.3">
      <c r="A64" s="13">
        <f t="shared" si="22"/>
        <v>48</v>
      </c>
      <c r="B64" s="29" t="s">
        <v>413</v>
      </c>
      <c r="C64" s="18" t="s">
        <v>190</v>
      </c>
      <c r="D64" s="21" t="s">
        <v>154</v>
      </c>
      <c r="E64" s="21">
        <v>1</v>
      </c>
      <c r="F64" s="14"/>
      <c r="G64" s="93">
        <v>16.399999999999999</v>
      </c>
      <c r="H64" s="14"/>
      <c r="I64" s="15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16.399999999999999</v>
      </c>
      <c r="S64" s="20">
        <f t="shared" si="20"/>
        <v>16.399999999999999</v>
      </c>
      <c r="T64" s="15">
        <f t="shared" si="21"/>
        <v>16.399999999999999</v>
      </c>
    </row>
    <row r="65" spans="1:21" ht="47.25" customHeight="1" thickBot="1" x14ac:dyDescent="0.3">
      <c r="A65" s="13">
        <f t="shared" si="22"/>
        <v>49</v>
      </c>
      <c r="B65" s="29" t="s">
        <v>414</v>
      </c>
      <c r="C65" s="18" t="s">
        <v>191</v>
      </c>
      <c r="D65" s="21" t="s">
        <v>135</v>
      </c>
      <c r="E65" s="21">
        <v>1</v>
      </c>
      <c r="F65" s="14">
        <v>54.4</v>
      </c>
      <c r="G65" s="14"/>
      <c r="H65" s="14"/>
      <c r="I65" s="15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54.4</v>
      </c>
      <c r="S65" s="20">
        <f t="shared" si="20"/>
        <v>54.4</v>
      </c>
      <c r="T65" s="15">
        <f t="shared" si="21"/>
        <v>54.4</v>
      </c>
    </row>
    <row r="66" spans="1:21" ht="58.5" customHeight="1" thickBot="1" x14ac:dyDescent="0.3">
      <c r="A66" s="13">
        <f t="shared" si="22"/>
        <v>50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51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6" t="s">
        <v>315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6" t="s">
        <v>316</v>
      </c>
      <c r="B69" s="86"/>
      <c r="C69" s="86"/>
      <c r="D69" s="86"/>
      <c r="E69" s="86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A67+1</f>
        <v>52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4">
        <v>151.06</v>
      </c>
      <c r="J70" s="15"/>
      <c r="K70" s="15"/>
      <c r="L70" s="15"/>
      <c r="M70" s="15"/>
      <c r="N70" s="15">
        <f t="shared" ref="N70:N98" si="23">AVERAGE(I70:M70)</f>
        <v>151.06</v>
      </c>
      <c r="O70" s="15">
        <f t="shared" ref="O70:O98" si="24">STDEVPA(I70:M70)</f>
        <v>0</v>
      </c>
      <c r="P70" s="15">
        <f t="shared" ref="P70:P98" si="25">N70+O70</f>
        <v>151.06</v>
      </c>
      <c r="Q70" s="15">
        <f t="shared" ref="Q70:Q98" si="26">N70-O70</f>
        <v>151.06</v>
      </c>
      <c r="R70" s="15">
        <f t="shared" ref="R70:R98" si="27">IF(F70&gt;0,F70,IF(G70&gt;0,G70,IF(H70&gt;0,H70,AVERAGEIFS(I70:M70,I70:M70,"&gt;="&amp;Q70,I70:M70,"&lt;="&amp;P70))))</f>
        <v>151.06</v>
      </c>
      <c r="S70" s="20">
        <f t="shared" ref="S70:S98" si="28">IF(F70&gt;0,F70,IF(G70&gt;0,G70,IF(H70&gt;0,H70,MEDIAN(I70:M70))))</f>
        <v>151.06</v>
      </c>
      <c r="T70" s="20">
        <f t="shared" ref="T70:T98" si="29">IF(R70&gt;S70,S70*E70,R70*E70)</f>
        <v>151.06</v>
      </c>
      <c r="U70" s="48"/>
    </row>
    <row r="71" spans="1:21" ht="49.5" customHeight="1" thickBot="1" x14ac:dyDescent="0.3">
      <c r="A71" s="13">
        <f t="shared" ref="A71:A131" si="30">A70+1</f>
        <v>53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4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54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4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55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4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56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4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57.75" customHeight="1" thickBot="1" x14ac:dyDescent="0.3">
      <c r="A75" s="13">
        <f t="shared" si="30"/>
        <v>57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4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58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4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59</v>
      </c>
      <c r="B77" s="81" t="s">
        <v>407</v>
      </c>
      <c r="C77" s="84" t="s">
        <v>326</v>
      </c>
      <c r="D77" s="85" t="s">
        <v>318</v>
      </c>
      <c r="E77" s="85">
        <v>2</v>
      </c>
      <c r="F77" s="14">
        <v>83.97</v>
      </c>
      <c r="G77" s="14"/>
      <c r="H77" s="14"/>
      <c r="I77" s="94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83.97</v>
      </c>
      <c r="S77" s="20">
        <f t="shared" si="28"/>
        <v>83.97</v>
      </c>
      <c r="T77" s="20">
        <f t="shared" si="29"/>
        <v>167.94</v>
      </c>
      <c r="U77" s="48"/>
    </row>
    <row r="78" spans="1:21" ht="39.75" customHeight="1" thickBot="1" x14ac:dyDescent="0.3">
      <c r="A78" s="13">
        <f t="shared" si="30"/>
        <v>60</v>
      </c>
      <c r="B78" s="81" t="s">
        <v>408</v>
      </c>
      <c r="C78" s="84" t="s">
        <v>327</v>
      </c>
      <c r="D78" s="85" t="s">
        <v>318</v>
      </c>
      <c r="E78" s="85">
        <v>1</v>
      </c>
      <c r="F78" s="14">
        <v>10.77</v>
      </c>
      <c r="G78" s="14"/>
      <c r="H78" s="14"/>
      <c r="I78" s="94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10.77</v>
      </c>
      <c r="S78" s="20">
        <f t="shared" si="28"/>
        <v>10.77</v>
      </c>
      <c r="T78" s="20">
        <f t="shared" si="29"/>
        <v>10.77</v>
      </c>
      <c r="U78" s="48"/>
    </row>
    <row r="79" spans="1:21" ht="45.75" customHeight="1" thickBot="1" x14ac:dyDescent="0.3">
      <c r="A79" s="13">
        <f t="shared" si="30"/>
        <v>61</v>
      </c>
      <c r="B79" s="81" t="s">
        <v>427</v>
      </c>
      <c r="C79" s="84" t="s">
        <v>381</v>
      </c>
      <c r="D79" s="85" t="s">
        <v>318</v>
      </c>
      <c r="E79" s="85">
        <v>1</v>
      </c>
      <c r="F79" s="14">
        <v>10.77</v>
      </c>
      <c r="G79" s="14"/>
      <c r="H79" s="14"/>
      <c r="I79" s="94">
        <v>10.35</v>
      </c>
      <c r="J79" s="15"/>
      <c r="K79" s="15"/>
      <c r="L79" s="15"/>
      <c r="M79" s="15"/>
      <c r="N79" s="15">
        <f t="shared" si="23"/>
        <v>10.35</v>
      </c>
      <c r="O79" s="15">
        <f t="shared" si="24"/>
        <v>0</v>
      </c>
      <c r="P79" s="15">
        <f t="shared" si="25"/>
        <v>10.35</v>
      </c>
      <c r="Q79" s="15">
        <f t="shared" si="26"/>
        <v>10.35</v>
      </c>
      <c r="R79" s="15">
        <f t="shared" si="27"/>
        <v>10.77</v>
      </c>
      <c r="S79" s="20">
        <f t="shared" si="28"/>
        <v>10.77</v>
      </c>
      <c r="T79" s="20">
        <f t="shared" si="29"/>
        <v>10.77</v>
      </c>
      <c r="U79" s="48"/>
    </row>
    <row r="80" spans="1:21" ht="39.75" customHeight="1" thickBot="1" x14ac:dyDescent="0.3">
      <c r="A80" s="13">
        <f t="shared" si="30"/>
        <v>62</v>
      </c>
      <c r="B80" s="81" t="s">
        <v>408</v>
      </c>
      <c r="C80" s="84" t="s">
        <v>328</v>
      </c>
      <c r="D80" s="85" t="s">
        <v>318</v>
      </c>
      <c r="E80" s="85">
        <v>3</v>
      </c>
      <c r="F80" s="14">
        <v>10.77</v>
      </c>
      <c r="G80" s="14"/>
      <c r="H80" s="14"/>
      <c r="I80" s="94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10.77</v>
      </c>
      <c r="S80" s="20">
        <f t="shared" si="28"/>
        <v>10.77</v>
      </c>
      <c r="T80" s="20">
        <f t="shared" si="29"/>
        <v>32.31</v>
      </c>
      <c r="U80" s="48"/>
    </row>
    <row r="81" spans="1:21" ht="43.5" customHeight="1" thickBot="1" x14ac:dyDescent="0.3">
      <c r="A81" s="13">
        <f t="shared" si="30"/>
        <v>63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4">
        <v>81.89</v>
      </c>
      <c r="J81" s="15"/>
      <c r="K81" s="15"/>
      <c r="L81" s="15"/>
      <c r="M81" s="15"/>
      <c r="N81" s="15">
        <f t="shared" si="23"/>
        <v>81.89</v>
      </c>
      <c r="O81" s="15">
        <f t="shared" si="24"/>
        <v>0</v>
      </c>
      <c r="P81" s="15">
        <f t="shared" si="25"/>
        <v>81.89</v>
      </c>
      <c r="Q81" s="15">
        <f t="shared" si="26"/>
        <v>81.89</v>
      </c>
      <c r="R81" s="15">
        <f t="shared" si="27"/>
        <v>81.89</v>
      </c>
      <c r="S81" s="20">
        <f t="shared" si="28"/>
        <v>81.89</v>
      </c>
      <c r="T81" s="20">
        <f t="shared" si="29"/>
        <v>163.78</v>
      </c>
      <c r="U81" s="48"/>
    </row>
    <row r="82" spans="1:21" ht="43.5" customHeight="1" thickBot="1" x14ac:dyDescent="0.3">
      <c r="A82" s="13">
        <f t="shared" si="30"/>
        <v>64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4">
        <v>31.99</v>
      </c>
      <c r="J82" s="15"/>
      <c r="K82" s="15"/>
      <c r="L82" s="15"/>
      <c r="M82" s="15"/>
      <c r="N82" s="15">
        <f t="shared" si="23"/>
        <v>31.99</v>
      </c>
      <c r="O82" s="15">
        <f t="shared" si="24"/>
        <v>0</v>
      </c>
      <c r="P82" s="15">
        <f t="shared" si="25"/>
        <v>31.99</v>
      </c>
      <c r="Q82" s="15">
        <f t="shared" si="26"/>
        <v>31.99</v>
      </c>
      <c r="R82" s="15">
        <f t="shared" si="27"/>
        <v>31.99</v>
      </c>
      <c r="S82" s="20">
        <f t="shared" si="28"/>
        <v>31.99</v>
      </c>
      <c r="T82" s="20">
        <f t="shared" si="29"/>
        <v>31.99</v>
      </c>
      <c r="U82" s="48"/>
    </row>
    <row r="83" spans="1:21" ht="35.25" customHeight="1" thickBot="1" x14ac:dyDescent="0.3">
      <c r="A83" s="13">
        <f t="shared" si="30"/>
        <v>65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4">
        <v>143.18</v>
      </c>
      <c r="J83" s="15"/>
      <c r="K83" s="15"/>
      <c r="L83" s="15"/>
      <c r="M83" s="15"/>
      <c r="N83" s="15">
        <f t="shared" si="23"/>
        <v>143.18</v>
      </c>
      <c r="O83" s="15">
        <f t="shared" si="24"/>
        <v>0</v>
      </c>
      <c r="P83" s="15">
        <f t="shared" si="25"/>
        <v>143.18</v>
      </c>
      <c r="Q83" s="15">
        <f t="shared" si="26"/>
        <v>143.18</v>
      </c>
      <c r="R83" s="15">
        <f t="shared" si="27"/>
        <v>143.18</v>
      </c>
      <c r="S83" s="20">
        <f t="shared" si="28"/>
        <v>143.18</v>
      </c>
      <c r="T83" s="20">
        <f t="shared" si="29"/>
        <v>143.18</v>
      </c>
      <c r="U83" s="48"/>
    </row>
    <row r="84" spans="1:21" ht="38.25" customHeight="1" thickBot="1" x14ac:dyDescent="0.3">
      <c r="A84" s="13">
        <f t="shared" si="30"/>
        <v>66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4">
        <v>146.36000000000001</v>
      </c>
      <c r="J84" s="15"/>
      <c r="K84" s="15"/>
      <c r="L84" s="15"/>
      <c r="M84" s="15"/>
      <c r="N84" s="15">
        <f t="shared" si="23"/>
        <v>146.36000000000001</v>
      </c>
      <c r="O84" s="15">
        <f t="shared" si="24"/>
        <v>0</v>
      </c>
      <c r="P84" s="15">
        <f t="shared" si="25"/>
        <v>146.36000000000001</v>
      </c>
      <c r="Q84" s="15">
        <f t="shared" si="26"/>
        <v>146.36000000000001</v>
      </c>
      <c r="R84" s="15">
        <f t="shared" si="27"/>
        <v>146.36000000000001</v>
      </c>
      <c r="S84" s="20">
        <f t="shared" si="28"/>
        <v>146.36000000000001</v>
      </c>
      <c r="T84" s="20">
        <f t="shared" si="29"/>
        <v>146.36000000000001</v>
      </c>
      <c r="U84" s="48"/>
    </row>
    <row r="85" spans="1:21" ht="44.25" customHeight="1" thickBot="1" x14ac:dyDescent="0.3">
      <c r="A85" s="13">
        <f t="shared" si="30"/>
        <v>67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4">
        <v>187.13</v>
      </c>
      <c r="J85" s="15"/>
      <c r="K85" s="15"/>
      <c r="L85" s="15"/>
      <c r="M85" s="15"/>
      <c r="N85" s="15">
        <f t="shared" si="23"/>
        <v>187.13</v>
      </c>
      <c r="O85" s="15">
        <f t="shared" si="24"/>
        <v>0</v>
      </c>
      <c r="P85" s="15">
        <f t="shared" si="25"/>
        <v>187.13</v>
      </c>
      <c r="Q85" s="15">
        <f t="shared" si="26"/>
        <v>187.13</v>
      </c>
      <c r="R85" s="15">
        <f t="shared" si="27"/>
        <v>187.13</v>
      </c>
      <c r="S85" s="20">
        <f t="shared" si="28"/>
        <v>187.13</v>
      </c>
      <c r="T85" s="20">
        <f t="shared" si="29"/>
        <v>187.13</v>
      </c>
      <c r="U85" s="48"/>
    </row>
    <row r="86" spans="1:21" ht="61.5" customHeight="1" thickBot="1" x14ac:dyDescent="0.3">
      <c r="A86" s="13">
        <f t="shared" si="30"/>
        <v>68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4">
        <v>74.150000000000006</v>
      </c>
      <c r="J86" s="15"/>
      <c r="K86" s="15"/>
      <c r="L86" s="15"/>
      <c r="M86" s="15"/>
      <c r="N86" s="15">
        <f t="shared" si="23"/>
        <v>74.150000000000006</v>
      </c>
      <c r="O86" s="15">
        <f t="shared" si="24"/>
        <v>0</v>
      </c>
      <c r="P86" s="15">
        <f t="shared" si="25"/>
        <v>74.150000000000006</v>
      </c>
      <c r="Q86" s="15">
        <f t="shared" si="26"/>
        <v>74.150000000000006</v>
      </c>
      <c r="R86" s="15">
        <f t="shared" si="27"/>
        <v>74.150000000000006</v>
      </c>
      <c r="S86" s="20">
        <f t="shared" si="28"/>
        <v>74.150000000000006</v>
      </c>
      <c r="T86" s="20">
        <f t="shared" si="29"/>
        <v>74.150000000000006</v>
      </c>
      <c r="U86" s="48"/>
    </row>
    <row r="87" spans="1:21" ht="61.5" customHeight="1" thickBot="1" x14ac:dyDescent="0.3">
      <c r="A87" s="13">
        <f t="shared" si="30"/>
        <v>69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4">
        <v>25.99</v>
      </c>
      <c r="J87" s="15"/>
      <c r="K87" s="15"/>
      <c r="L87" s="15"/>
      <c r="M87" s="15"/>
      <c r="N87" s="15">
        <f t="shared" si="23"/>
        <v>25.99</v>
      </c>
      <c r="O87" s="15">
        <f t="shared" si="24"/>
        <v>0</v>
      </c>
      <c r="P87" s="15">
        <f t="shared" si="25"/>
        <v>25.99</v>
      </c>
      <c r="Q87" s="15">
        <f t="shared" si="26"/>
        <v>25.99</v>
      </c>
      <c r="R87" s="15">
        <f t="shared" si="27"/>
        <v>25.99</v>
      </c>
      <c r="S87" s="20">
        <f t="shared" si="28"/>
        <v>25.99</v>
      </c>
      <c r="T87" s="20">
        <f t="shared" si="29"/>
        <v>25.99</v>
      </c>
      <c r="U87" s="48"/>
    </row>
    <row r="88" spans="1:21" ht="61.5" customHeight="1" thickBot="1" x14ac:dyDescent="0.3">
      <c r="A88" s="13">
        <f t="shared" si="30"/>
        <v>70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4">
        <v>24.33</v>
      </c>
      <c r="J88" s="15"/>
      <c r="K88" s="15"/>
      <c r="L88" s="15"/>
      <c r="M88" s="15"/>
      <c r="N88" s="15">
        <f t="shared" si="23"/>
        <v>24.33</v>
      </c>
      <c r="O88" s="15">
        <f t="shared" si="24"/>
        <v>0</v>
      </c>
      <c r="P88" s="15">
        <f t="shared" si="25"/>
        <v>24.33</v>
      </c>
      <c r="Q88" s="15">
        <f t="shared" si="26"/>
        <v>24.33</v>
      </c>
      <c r="R88" s="15">
        <f t="shared" si="27"/>
        <v>24.33</v>
      </c>
      <c r="S88" s="20">
        <f t="shared" si="28"/>
        <v>24.33</v>
      </c>
      <c r="T88" s="20">
        <f t="shared" si="29"/>
        <v>24.33</v>
      </c>
      <c r="U88" s="48"/>
    </row>
    <row r="89" spans="1:21" ht="61.5" customHeight="1" thickBot="1" x14ac:dyDescent="0.3">
      <c r="A89" s="13">
        <f t="shared" si="30"/>
        <v>71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4">
        <v>23.55</v>
      </c>
      <c r="J89" s="15"/>
      <c r="K89" s="15"/>
      <c r="L89" s="15"/>
      <c r="M89" s="15"/>
      <c r="N89" s="15">
        <f t="shared" si="23"/>
        <v>23.55</v>
      </c>
      <c r="O89" s="15">
        <f t="shared" si="24"/>
        <v>0</v>
      </c>
      <c r="P89" s="15">
        <f t="shared" si="25"/>
        <v>23.55</v>
      </c>
      <c r="Q89" s="15">
        <f t="shared" si="26"/>
        <v>23.55</v>
      </c>
      <c r="R89" s="15">
        <f t="shared" si="27"/>
        <v>23.55</v>
      </c>
      <c r="S89" s="20">
        <f t="shared" si="28"/>
        <v>23.55</v>
      </c>
      <c r="T89" s="20">
        <f t="shared" si="29"/>
        <v>23.55</v>
      </c>
      <c r="U89" s="48"/>
    </row>
    <row r="90" spans="1:21" ht="61.5" customHeight="1" thickBot="1" x14ac:dyDescent="0.3">
      <c r="A90" s="13">
        <f t="shared" si="30"/>
        <v>72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4">
        <v>17.23</v>
      </c>
      <c r="J90" s="15"/>
      <c r="K90" s="15"/>
      <c r="L90" s="15"/>
      <c r="M90" s="15"/>
      <c r="N90" s="15">
        <f t="shared" si="23"/>
        <v>17.23</v>
      </c>
      <c r="O90" s="15">
        <f t="shared" si="24"/>
        <v>0</v>
      </c>
      <c r="P90" s="15">
        <f t="shared" si="25"/>
        <v>17.23</v>
      </c>
      <c r="Q90" s="15">
        <f t="shared" si="26"/>
        <v>17.23</v>
      </c>
      <c r="R90" s="15">
        <f t="shared" si="27"/>
        <v>17.23</v>
      </c>
      <c r="S90" s="20">
        <f t="shared" si="28"/>
        <v>17.23</v>
      </c>
      <c r="T90" s="20">
        <f t="shared" si="29"/>
        <v>34.46</v>
      </c>
      <c r="U90" s="48"/>
    </row>
    <row r="91" spans="1:21" ht="32.25" customHeight="1" thickBot="1" x14ac:dyDescent="0.3">
      <c r="A91" s="13">
        <f t="shared" si="30"/>
        <v>73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4">
        <v>8.69</v>
      </c>
      <c r="J91" s="15"/>
      <c r="K91" s="15"/>
      <c r="L91" s="15"/>
      <c r="M91" s="15"/>
      <c r="N91" s="15">
        <f t="shared" si="23"/>
        <v>8.69</v>
      </c>
      <c r="O91" s="15">
        <f t="shared" si="24"/>
        <v>0</v>
      </c>
      <c r="P91" s="15">
        <f t="shared" si="25"/>
        <v>8.69</v>
      </c>
      <c r="Q91" s="15">
        <f t="shared" si="26"/>
        <v>8.69</v>
      </c>
      <c r="R91" s="15">
        <f t="shared" si="27"/>
        <v>8.69</v>
      </c>
      <c r="S91" s="20">
        <f t="shared" si="28"/>
        <v>8.69</v>
      </c>
      <c r="T91" s="20">
        <f t="shared" si="29"/>
        <v>17.38</v>
      </c>
      <c r="U91" s="48"/>
    </row>
    <row r="92" spans="1:21" ht="36.75" customHeight="1" thickBot="1" x14ac:dyDescent="0.3">
      <c r="A92" s="13">
        <f t="shared" si="30"/>
        <v>74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4">
        <f>264.49/2</f>
        <v>132.245</v>
      </c>
      <c r="J92" s="15"/>
      <c r="K92" s="15"/>
      <c r="L92" s="15"/>
      <c r="M92" s="15"/>
      <c r="N92" s="15">
        <f t="shared" si="23"/>
        <v>132.245</v>
      </c>
      <c r="O92" s="15">
        <f t="shared" si="24"/>
        <v>0</v>
      </c>
      <c r="P92" s="15">
        <f t="shared" si="25"/>
        <v>132.245</v>
      </c>
      <c r="Q92" s="15">
        <f t="shared" si="26"/>
        <v>132.245</v>
      </c>
      <c r="R92" s="15">
        <f t="shared" si="27"/>
        <v>132.245</v>
      </c>
      <c r="S92" s="20">
        <f t="shared" si="28"/>
        <v>132.245</v>
      </c>
      <c r="T92" s="20">
        <f t="shared" si="29"/>
        <v>31.738800000000001</v>
      </c>
      <c r="U92" s="48"/>
    </row>
    <row r="93" spans="1:21" ht="34.5" customHeight="1" thickBot="1" x14ac:dyDescent="0.3">
      <c r="A93" s="13">
        <f t="shared" si="30"/>
        <v>75</v>
      </c>
      <c r="B93" s="29" t="s">
        <v>438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4">
        <v>3.8</v>
      </c>
      <c r="J93" s="15"/>
      <c r="K93" s="15"/>
      <c r="L93" s="15"/>
      <c r="M93" s="15"/>
      <c r="N93" s="15">
        <f t="shared" si="23"/>
        <v>3.8</v>
      </c>
      <c r="O93" s="15">
        <f t="shared" si="24"/>
        <v>0</v>
      </c>
      <c r="P93" s="15">
        <f t="shared" si="25"/>
        <v>3.8</v>
      </c>
      <c r="Q93" s="15">
        <f t="shared" si="26"/>
        <v>3.8</v>
      </c>
      <c r="R93" s="15">
        <f t="shared" si="27"/>
        <v>4.8099999999999996</v>
      </c>
      <c r="S93" s="20">
        <f t="shared" si="28"/>
        <v>4.8099999999999996</v>
      </c>
      <c r="T93" s="20">
        <f t="shared" si="29"/>
        <v>4.8099999999999996</v>
      </c>
      <c r="U93" s="48"/>
    </row>
    <row r="94" spans="1:21" ht="36" customHeight="1" thickBot="1" x14ac:dyDescent="0.3">
      <c r="A94" s="13">
        <f t="shared" si="30"/>
        <v>76</v>
      </c>
      <c r="B94" s="29" t="s">
        <v>415</v>
      </c>
      <c r="C94" s="84" t="s">
        <v>335</v>
      </c>
      <c r="D94" s="85" t="s">
        <v>318</v>
      </c>
      <c r="E94" s="85">
        <v>16</v>
      </c>
      <c r="F94" s="14">
        <v>0.47</v>
      </c>
      <c r="G94" s="14"/>
      <c r="H94" s="14"/>
      <c r="I94" s="94">
        <v>0.15</v>
      </c>
      <c r="J94" s="15"/>
      <c r="K94" s="15"/>
      <c r="L94" s="15"/>
      <c r="M94" s="15"/>
      <c r="N94" s="15">
        <f t="shared" si="23"/>
        <v>0.15</v>
      </c>
      <c r="O94" s="15">
        <f t="shared" si="24"/>
        <v>0</v>
      </c>
      <c r="P94" s="15">
        <f t="shared" si="25"/>
        <v>0.15</v>
      </c>
      <c r="Q94" s="15">
        <f t="shared" si="26"/>
        <v>0.15</v>
      </c>
      <c r="R94" s="15">
        <f t="shared" si="27"/>
        <v>0.47</v>
      </c>
      <c r="S94" s="20">
        <f t="shared" si="28"/>
        <v>0.47</v>
      </c>
      <c r="T94" s="20">
        <f t="shared" si="29"/>
        <v>7.52</v>
      </c>
      <c r="U94" s="48"/>
    </row>
    <row r="95" spans="1:21" ht="34.5" customHeight="1" thickBot="1" x14ac:dyDescent="0.3">
      <c r="A95" s="13">
        <f t="shared" si="30"/>
        <v>77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4">
        <v>0.81</v>
      </c>
      <c r="J95" s="15"/>
      <c r="K95" s="15"/>
      <c r="L95" s="15"/>
      <c r="M95" s="15"/>
      <c r="N95" s="15">
        <f t="shared" si="23"/>
        <v>0.81</v>
      </c>
      <c r="O95" s="15">
        <f t="shared" si="24"/>
        <v>0</v>
      </c>
      <c r="P95" s="15">
        <f t="shared" si="25"/>
        <v>0.81</v>
      </c>
      <c r="Q95" s="15">
        <f t="shared" si="26"/>
        <v>0.81</v>
      </c>
      <c r="R95" s="15">
        <f t="shared" si="27"/>
        <v>0.81</v>
      </c>
      <c r="S95" s="20">
        <f t="shared" si="28"/>
        <v>0.81</v>
      </c>
      <c r="T95" s="20">
        <f t="shared" si="29"/>
        <v>12.96</v>
      </c>
      <c r="U95" s="48"/>
    </row>
    <row r="96" spans="1:21" ht="33" customHeight="1" thickBot="1" x14ac:dyDescent="0.3">
      <c r="A96" s="13">
        <f t="shared" si="30"/>
        <v>78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4">
        <f>7/10</f>
        <v>0.7</v>
      </c>
      <c r="J96" s="15"/>
      <c r="K96" s="15"/>
      <c r="L96" s="15"/>
      <c r="M96" s="15"/>
      <c r="N96" s="15">
        <f t="shared" si="23"/>
        <v>0.7</v>
      </c>
      <c r="O96" s="15">
        <f t="shared" si="24"/>
        <v>0</v>
      </c>
      <c r="P96" s="15">
        <f t="shared" si="25"/>
        <v>0.7</v>
      </c>
      <c r="Q96" s="15">
        <f t="shared" si="26"/>
        <v>0.7</v>
      </c>
      <c r="R96" s="15">
        <f t="shared" si="27"/>
        <v>0.7</v>
      </c>
      <c r="S96" s="20">
        <f t="shared" si="28"/>
        <v>0.7</v>
      </c>
      <c r="T96" s="20">
        <f t="shared" si="29"/>
        <v>210</v>
      </c>
      <c r="U96" s="48"/>
    </row>
    <row r="97" spans="1:21" ht="61.5" customHeight="1" thickBot="1" x14ac:dyDescent="0.3">
      <c r="A97" s="13">
        <f t="shared" si="30"/>
        <v>79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4">
        <v>0.2</v>
      </c>
      <c r="J97" s="15"/>
      <c r="K97" s="15"/>
      <c r="L97" s="15"/>
      <c r="M97" s="15"/>
      <c r="N97" s="15">
        <f t="shared" si="23"/>
        <v>0.2</v>
      </c>
      <c r="O97" s="15">
        <f t="shared" si="24"/>
        <v>0</v>
      </c>
      <c r="P97" s="15">
        <f t="shared" si="25"/>
        <v>0.2</v>
      </c>
      <c r="Q97" s="15">
        <f t="shared" si="26"/>
        <v>0.2</v>
      </c>
      <c r="R97" s="15">
        <f t="shared" si="27"/>
        <v>0.2</v>
      </c>
      <c r="S97" s="20">
        <f t="shared" si="28"/>
        <v>0.2</v>
      </c>
      <c r="T97" s="20">
        <f t="shared" si="29"/>
        <v>10</v>
      </c>
      <c r="U97" s="48"/>
    </row>
    <row r="98" spans="1:21" ht="36" customHeight="1" thickBot="1" x14ac:dyDescent="0.3">
      <c r="A98" s="13">
        <f t="shared" si="30"/>
        <v>80</v>
      </c>
      <c r="B98" s="29" t="s">
        <v>416</v>
      </c>
      <c r="C98" s="84" t="s">
        <v>339</v>
      </c>
      <c r="D98" s="85" t="s">
        <v>318</v>
      </c>
      <c r="E98" s="85">
        <v>10</v>
      </c>
      <c r="F98" s="14">
        <v>7.0000000000000007E-2</v>
      </c>
      <c r="G98" s="14"/>
      <c r="H98" s="14"/>
      <c r="I98" s="94">
        <f>6.8/100</f>
        <v>6.8000000000000005E-2</v>
      </c>
      <c r="J98" s="15"/>
      <c r="K98" s="15"/>
      <c r="L98" s="15"/>
      <c r="M98" s="15"/>
      <c r="N98" s="15">
        <f t="shared" si="23"/>
        <v>6.8000000000000005E-2</v>
      </c>
      <c r="O98" s="15">
        <f t="shared" si="24"/>
        <v>0</v>
      </c>
      <c r="P98" s="15">
        <f t="shared" si="25"/>
        <v>6.8000000000000005E-2</v>
      </c>
      <c r="Q98" s="15">
        <f t="shared" si="26"/>
        <v>6.8000000000000005E-2</v>
      </c>
      <c r="R98" s="15">
        <f t="shared" si="27"/>
        <v>7.0000000000000007E-2</v>
      </c>
      <c r="S98" s="20">
        <f t="shared" si="28"/>
        <v>7.0000000000000007E-2</v>
      </c>
      <c r="T98" s="20">
        <f t="shared" si="29"/>
        <v>0.70000000000000007</v>
      </c>
      <c r="U98" s="48"/>
    </row>
    <row r="99" spans="1:21" ht="28.5" customHeight="1" thickBot="1" x14ac:dyDescent="0.3">
      <c r="A99" s="86" t="s">
        <v>340</v>
      </c>
      <c r="B99" s="86"/>
      <c r="C99" s="86"/>
      <c r="D99" s="86"/>
      <c r="E99" s="86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48"/>
    </row>
    <row r="100" spans="1:21" ht="68.25" customHeight="1" thickBot="1" x14ac:dyDescent="0.3">
      <c r="A100" s="13">
        <f>83</f>
        <v>83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4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20">
        <f t="shared" ref="T100:T111" si="37">IF(R100&gt;S100,S100*E100,R100*E100)</f>
        <v>1659</v>
      </c>
      <c r="U100" s="48"/>
    </row>
    <row r="101" spans="1:21" ht="65.25" customHeight="1" thickBot="1" x14ac:dyDescent="0.3">
      <c r="A101" s="13">
        <f t="shared" si="30"/>
        <v>84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4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20">
        <f t="shared" si="37"/>
        <v>1659</v>
      </c>
      <c r="U101" s="48"/>
    </row>
    <row r="102" spans="1:21" ht="60.75" customHeight="1" thickBot="1" x14ac:dyDescent="0.3">
      <c r="A102" s="13">
        <f t="shared" si="30"/>
        <v>85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4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20">
        <f t="shared" si="37"/>
        <v>1267</v>
      </c>
      <c r="U102" s="48"/>
    </row>
    <row r="103" spans="1:21" ht="38.25" customHeight="1" thickBot="1" x14ac:dyDescent="0.3">
      <c r="A103" s="13">
        <f t="shared" si="30"/>
        <v>86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4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20">
        <f t="shared" si="37"/>
        <v>9.5400000000000009</v>
      </c>
      <c r="U103" s="48"/>
    </row>
    <row r="104" spans="1:21" ht="33.75" customHeight="1" thickBot="1" x14ac:dyDescent="0.3">
      <c r="A104" s="13">
        <f t="shared" si="30"/>
        <v>87</v>
      </c>
      <c r="B104" s="29" t="s">
        <v>417</v>
      </c>
      <c r="C104" s="84" t="s">
        <v>342</v>
      </c>
      <c r="D104" s="85" t="s">
        <v>320</v>
      </c>
      <c r="E104" s="85">
        <v>100</v>
      </c>
      <c r="F104" s="14">
        <v>4.8499999999999996</v>
      </c>
      <c r="G104" s="14"/>
      <c r="H104" s="14"/>
      <c r="I104" s="94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20">
        <f t="shared" si="37"/>
        <v>484.99999999999994</v>
      </c>
      <c r="U104" s="48"/>
    </row>
    <row r="105" spans="1:21" ht="25.5" customHeight="1" thickBot="1" x14ac:dyDescent="0.3">
      <c r="A105" s="13">
        <f t="shared" si="30"/>
        <v>88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4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20">
        <f t="shared" si="37"/>
        <v>725</v>
      </c>
      <c r="U105" s="48"/>
    </row>
    <row r="106" spans="1:21" ht="38.25" customHeight="1" thickBot="1" x14ac:dyDescent="0.3">
      <c r="A106" s="13">
        <f t="shared" si="30"/>
        <v>89</v>
      </c>
      <c r="B106" s="29" t="s">
        <v>418</v>
      </c>
      <c r="C106" s="84" t="s">
        <v>344</v>
      </c>
      <c r="D106" s="85" t="s">
        <v>320</v>
      </c>
      <c r="E106" s="85">
        <v>20</v>
      </c>
      <c r="F106" s="14">
        <v>49.31</v>
      </c>
      <c r="G106" s="14"/>
      <c r="H106" s="14"/>
      <c r="I106" s="94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49.31</v>
      </c>
      <c r="S106" s="20">
        <f t="shared" si="36"/>
        <v>49.31</v>
      </c>
      <c r="T106" s="20">
        <f t="shared" si="37"/>
        <v>986.2</v>
      </c>
      <c r="U106" s="48"/>
    </row>
    <row r="107" spans="1:21" ht="30.75" customHeight="1" thickBot="1" x14ac:dyDescent="0.3">
      <c r="A107" s="13">
        <f t="shared" si="30"/>
        <v>90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4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20">
        <f t="shared" si="37"/>
        <v>35.54</v>
      </c>
      <c r="U107" s="48"/>
    </row>
    <row r="108" spans="1:21" ht="36.75" customHeight="1" thickBot="1" x14ac:dyDescent="0.3">
      <c r="A108" s="13">
        <f t="shared" si="30"/>
        <v>91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4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20">
        <f t="shared" si="37"/>
        <v>20.190000000000001</v>
      </c>
      <c r="U108" s="48"/>
    </row>
    <row r="109" spans="1:21" ht="38.25" customHeight="1" thickBot="1" x14ac:dyDescent="0.3">
      <c r="A109" s="13">
        <f t="shared" si="30"/>
        <v>92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4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20">
        <f t="shared" si="37"/>
        <v>28.914999999999999</v>
      </c>
      <c r="U109" s="48"/>
    </row>
    <row r="110" spans="1:21" ht="24.75" customHeight="1" thickBot="1" x14ac:dyDescent="0.3">
      <c r="A110" s="13">
        <f t="shared" si="30"/>
        <v>93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4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20">
        <f t="shared" si="37"/>
        <v>1.083</v>
      </c>
      <c r="U110" s="48"/>
    </row>
    <row r="111" spans="1:21" ht="24" customHeight="1" thickBot="1" x14ac:dyDescent="0.3">
      <c r="A111" s="13">
        <f t="shared" si="30"/>
        <v>94</v>
      </c>
      <c r="B111" s="29" t="s">
        <v>419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4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20">
        <f t="shared" si="37"/>
        <v>11.95</v>
      </c>
      <c r="U111" s="48"/>
    </row>
    <row r="112" spans="1:21" ht="33" customHeight="1" thickBot="1" x14ac:dyDescent="0.3">
      <c r="A112" s="86" t="s">
        <v>350</v>
      </c>
      <c r="B112" s="86"/>
      <c r="C112" s="86"/>
      <c r="D112" s="86"/>
      <c r="E112" s="86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48"/>
    </row>
    <row r="113" spans="1:21" ht="68.25" customHeight="1" thickBot="1" x14ac:dyDescent="0.3">
      <c r="A113" s="13">
        <f>95</f>
        <v>95</v>
      </c>
      <c r="B113" s="29"/>
      <c r="C113" s="84" t="s">
        <v>351</v>
      </c>
      <c r="D113" s="85" t="s">
        <v>320</v>
      </c>
      <c r="E113" s="85">
        <v>15</v>
      </c>
      <c r="F113" s="94"/>
      <c r="G113" s="14"/>
      <c r="H113" s="14"/>
      <c r="I113" s="94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20">
        <f t="shared" ref="T113:T124" si="44">IF(R113&gt;S113,S113*E113,R113*E113)</f>
        <v>39.626999999999995</v>
      </c>
      <c r="U113" s="48"/>
    </row>
    <row r="114" spans="1:21" ht="64.5" customHeight="1" thickBot="1" x14ac:dyDescent="0.3">
      <c r="A114" s="13">
        <f t="shared" si="30"/>
        <v>96</v>
      </c>
      <c r="B114" s="29"/>
      <c r="C114" s="84" t="s">
        <v>352</v>
      </c>
      <c r="D114" s="85" t="s">
        <v>320</v>
      </c>
      <c r="E114" s="85">
        <v>15</v>
      </c>
      <c r="F114" s="94"/>
      <c r="G114" s="14"/>
      <c r="H114" s="14"/>
      <c r="I114" s="94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20">
        <f t="shared" si="44"/>
        <v>43.5</v>
      </c>
      <c r="U114" s="48"/>
    </row>
    <row r="115" spans="1:21" ht="50.25" customHeight="1" thickBot="1" x14ac:dyDescent="0.3">
      <c r="A115" s="13">
        <f t="shared" si="30"/>
        <v>97</v>
      </c>
      <c r="B115" s="29"/>
      <c r="C115" s="84" t="s">
        <v>353</v>
      </c>
      <c r="D115" s="85" t="s">
        <v>320</v>
      </c>
      <c r="E115" s="85">
        <v>15</v>
      </c>
      <c r="F115" s="94"/>
      <c r="G115" s="14"/>
      <c r="H115" s="14"/>
      <c r="I115" s="94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20">
        <f t="shared" si="44"/>
        <v>43.5</v>
      </c>
      <c r="U115" s="48"/>
    </row>
    <row r="116" spans="1:21" ht="31.5" customHeight="1" thickBot="1" x14ac:dyDescent="0.3">
      <c r="A116" s="13">
        <f t="shared" si="30"/>
        <v>98</v>
      </c>
      <c r="B116" s="29"/>
      <c r="C116" s="84" t="s">
        <v>354</v>
      </c>
      <c r="D116" s="85" t="s">
        <v>318</v>
      </c>
      <c r="E116" s="85">
        <v>6</v>
      </c>
      <c r="F116" s="94"/>
      <c r="G116" s="14"/>
      <c r="H116" s="14"/>
      <c r="I116" s="94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20">
        <f t="shared" si="44"/>
        <v>1.881</v>
      </c>
      <c r="U116" s="48"/>
    </row>
    <row r="117" spans="1:21" ht="28.5" customHeight="1" thickBot="1" x14ac:dyDescent="0.3">
      <c r="A117" s="13">
        <f t="shared" si="30"/>
        <v>99</v>
      </c>
      <c r="B117" s="29"/>
      <c r="C117" s="84" t="s">
        <v>355</v>
      </c>
      <c r="D117" s="85" t="s">
        <v>320</v>
      </c>
      <c r="E117" s="85">
        <v>10</v>
      </c>
      <c r="F117" s="94"/>
      <c r="G117" s="14"/>
      <c r="H117" s="14"/>
      <c r="I117" s="94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20">
        <f t="shared" si="44"/>
        <v>18.799999999999997</v>
      </c>
      <c r="U117" s="48"/>
    </row>
    <row r="118" spans="1:21" ht="38.25" customHeight="1" thickBot="1" x14ac:dyDescent="0.3">
      <c r="A118" s="13">
        <f t="shared" si="30"/>
        <v>100</v>
      </c>
      <c r="B118" s="29"/>
      <c r="C118" s="84" t="s">
        <v>356</v>
      </c>
      <c r="D118" s="85" t="s">
        <v>318</v>
      </c>
      <c r="E118" s="85">
        <v>2</v>
      </c>
      <c r="F118" s="94"/>
      <c r="G118" s="14"/>
      <c r="H118" s="14"/>
      <c r="I118" s="94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20">
        <f t="shared" si="44"/>
        <v>102.46</v>
      </c>
      <c r="U118" s="48"/>
    </row>
    <row r="119" spans="1:21" ht="36" customHeight="1" thickBot="1" x14ac:dyDescent="0.3">
      <c r="A119" s="13">
        <f t="shared" si="30"/>
        <v>101</v>
      </c>
      <c r="B119" s="29"/>
      <c r="C119" s="84" t="s">
        <v>357</v>
      </c>
      <c r="D119" s="85" t="s">
        <v>320</v>
      </c>
      <c r="E119" s="85">
        <v>1.5</v>
      </c>
      <c r="F119" s="94"/>
      <c r="G119" s="14"/>
      <c r="H119" s="14"/>
      <c r="I119" s="94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20">
        <f t="shared" si="44"/>
        <v>22.98</v>
      </c>
      <c r="U119" s="48"/>
    </row>
    <row r="120" spans="1:21" ht="35.25" customHeight="1" thickBot="1" x14ac:dyDescent="0.3">
      <c r="A120" s="13">
        <f t="shared" si="30"/>
        <v>102</v>
      </c>
      <c r="B120" s="29" t="s">
        <v>420</v>
      </c>
      <c r="C120" s="84" t="s">
        <v>358</v>
      </c>
      <c r="D120" s="85" t="s">
        <v>318</v>
      </c>
      <c r="E120" s="85">
        <v>4</v>
      </c>
      <c r="F120" s="14">
        <v>2.2599999999999998</v>
      </c>
      <c r="G120" s="14"/>
      <c r="H120" s="14"/>
      <c r="I120" s="94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2.2599999999999998</v>
      </c>
      <c r="S120" s="20">
        <f t="shared" si="43"/>
        <v>2.2599999999999998</v>
      </c>
      <c r="T120" s="20">
        <f t="shared" si="44"/>
        <v>9.0399999999999991</v>
      </c>
      <c r="U120" s="48"/>
    </row>
    <row r="121" spans="1:21" ht="35.25" customHeight="1" thickBot="1" x14ac:dyDescent="0.3">
      <c r="A121" s="13">
        <f t="shared" si="30"/>
        <v>103</v>
      </c>
      <c r="B121" s="29"/>
      <c r="C121" s="84" t="s">
        <v>359</v>
      </c>
      <c r="D121" s="85" t="s">
        <v>318</v>
      </c>
      <c r="E121" s="85">
        <v>2</v>
      </c>
      <c r="F121" s="94"/>
      <c r="G121" s="14"/>
      <c r="H121" s="14"/>
      <c r="I121" s="94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20">
        <f t="shared" si="44"/>
        <v>16.16</v>
      </c>
      <c r="U121" s="48"/>
    </row>
    <row r="122" spans="1:21" ht="26.25" customHeight="1" thickBot="1" x14ac:dyDescent="0.3">
      <c r="A122" s="13">
        <f t="shared" si="30"/>
        <v>104</v>
      </c>
      <c r="B122" s="29"/>
      <c r="C122" s="84" t="s">
        <v>360</v>
      </c>
      <c r="D122" s="85" t="s">
        <v>318</v>
      </c>
      <c r="E122" s="85">
        <v>1</v>
      </c>
      <c r="F122" s="94"/>
      <c r="G122" s="14"/>
      <c r="H122" s="14"/>
      <c r="I122" s="94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20">
        <f t="shared" si="44"/>
        <v>0.62020000000000008</v>
      </c>
      <c r="U122" s="48"/>
    </row>
    <row r="123" spans="1:21" ht="25.5" customHeight="1" thickBot="1" x14ac:dyDescent="0.3">
      <c r="A123" s="13">
        <f t="shared" si="30"/>
        <v>105</v>
      </c>
      <c r="B123" s="29"/>
      <c r="C123" s="84" t="s">
        <v>361</v>
      </c>
      <c r="D123" s="85" t="s">
        <v>318</v>
      </c>
      <c r="E123" s="85">
        <v>2</v>
      </c>
      <c r="F123" s="94"/>
      <c r="G123" s="14"/>
      <c r="H123" s="14"/>
      <c r="I123" s="94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20">
        <f t="shared" si="44"/>
        <v>5.76</v>
      </c>
      <c r="U123" s="48"/>
    </row>
    <row r="124" spans="1:21" ht="30" customHeight="1" thickBot="1" x14ac:dyDescent="0.3">
      <c r="A124" s="13">
        <f t="shared" si="30"/>
        <v>106</v>
      </c>
      <c r="B124" s="29"/>
      <c r="C124" s="84" t="s">
        <v>362</v>
      </c>
      <c r="D124" s="85" t="s">
        <v>320</v>
      </c>
      <c r="E124" s="85">
        <v>5</v>
      </c>
      <c r="F124" s="94"/>
      <c r="G124" s="14"/>
      <c r="H124" s="14"/>
      <c r="I124" s="94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20">
        <f t="shared" si="44"/>
        <v>63.099999999999994</v>
      </c>
      <c r="U124" s="48"/>
    </row>
    <row r="125" spans="1:21" ht="39" customHeight="1" thickBot="1" x14ac:dyDescent="0.3">
      <c r="A125" s="86" t="s">
        <v>364</v>
      </c>
      <c r="B125" s="86"/>
      <c r="C125" s="86"/>
      <c r="D125" s="86"/>
      <c r="E125" s="86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48"/>
    </row>
    <row r="126" spans="1:21" ht="44.25" customHeight="1" thickBot="1" x14ac:dyDescent="0.3">
      <c r="A126" s="13">
        <f>107</f>
        <v>107</v>
      </c>
      <c r="B126" s="29" t="s">
        <v>421</v>
      </c>
      <c r="C126" s="84" t="s">
        <v>365</v>
      </c>
      <c r="D126" s="85" t="s">
        <v>366</v>
      </c>
      <c r="E126" s="85">
        <f>100*0.7*0.2+10*0.7*0.2</f>
        <v>15.4</v>
      </c>
      <c r="F126" s="14">
        <v>74.41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74.41</v>
      </c>
      <c r="S126" s="20">
        <f t="shared" ref="S126:S131" si="50">IF(F126&gt;0,F126,IF(G126&gt;0,G126,IF(H126&gt;0,H126,MEDIAN(I126:M126))))</f>
        <v>74.41</v>
      </c>
      <c r="T126" s="20">
        <f t="shared" ref="T126:T131" si="51">IF(R126&gt;S126,S126*E126,R126*E126)</f>
        <v>1145.914</v>
      </c>
      <c r="U126" s="48"/>
    </row>
    <row r="127" spans="1:21" ht="47.25" customHeight="1" thickBot="1" x14ac:dyDescent="0.3">
      <c r="A127" s="13">
        <f t="shared" si="30"/>
        <v>108</v>
      </c>
      <c r="B127" s="29" t="s">
        <v>422</v>
      </c>
      <c r="C127" s="84" t="s">
        <v>367</v>
      </c>
      <c r="D127" s="85" t="s">
        <v>368</v>
      </c>
      <c r="E127" s="85">
        <f>100*0.2+10*0.2</f>
        <v>22</v>
      </c>
      <c r="F127" s="14">
        <v>5.49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5.49</v>
      </c>
      <c r="S127" s="20">
        <f t="shared" si="50"/>
        <v>5.49</v>
      </c>
      <c r="T127" s="20">
        <f t="shared" si="51"/>
        <v>120.78</v>
      </c>
      <c r="U127" s="48"/>
    </row>
    <row r="128" spans="1:21" ht="61.5" customHeight="1" thickBot="1" x14ac:dyDescent="0.3">
      <c r="A128" s="13">
        <f t="shared" si="30"/>
        <v>109</v>
      </c>
      <c r="B128" s="29" t="s">
        <v>423</v>
      </c>
      <c r="C128" s="84" t="s">
        <v>369</v>
      </c>
      <c r="D128" s="85" t="s">
        <v>366</v>
      </c>
      <c r="E128" s="85">
        <f>100*0.7*0.2+10*0.7*0.2</f>
        <v>15.4</v>
      </c>
      <c r="F128" s="14">
        <v>11.62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11.62</v>
      </c>
      <c r="S128" s="20">
        <f t="shared" si="50"/>
        <v>11.62</v>
      </c>
      <c r="T128" s="20">
        <f t="shared" si="51"/>
        <v>178.94799999999998</v>
      </c>
      <c r="U128" s="48"/>
    </row>
    <row r="129" spans="1:23" ht="29.25" customHeight="1" thickBot="1" x14ac:dyDescent="0.3">
      <c r="A129" s="13">
        <f t="shared" si="30"/>
        <v>110</v>
      </c>
      <c r="B129" s="29" t="s">
        <v>424</v>
      </c>
      <c r="C129" s="84" t="s">
        <v>370</v>
      </c>
      <c r="D129" s="85" t="s">
        <v>371</v>
      </c>
      <c r="E129" s="85">
        <v>4</v>
      </c>
      <c r="F129" s="14">
        <v>24.86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24.86</v>
      </c>
      <c r="S129" s="20">
        <f t="shared" si="50"/>
        <v>24.86</v>
      </c>
      <c r="T129" s="20">
        <f t="shared" si="51"/>
        <v>99.44</v>
      </c>
      <c r="U129" s="48"/>
    </row>
    <row r="130" spans="1:23" ht="33.75" customHeight="1" thickBot="1" x14ac:dyDescent="0.3">
      <c r="A130" s="13">
        <f t="shared" si="30"/>
        <v>111</v>
      </c>
      <c r="B130" s="29" t="s">
        <v>425</v>
      </c>
      <c r="C130" s="84" t="s">
        <v>372</v>
      </c>
      <c r="D130" s="85" t="s">
        <v>371</v>
      </c>
      <c r="E130" s="85">
        <v>8</v>
      </c>
      <c r="F130" s="14">
        <v>23.84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23.84</v>
      </c>
      <c r="S130" s="20">
        <f t="shared" si="50"/>
        <v>23.84</v>
      </c>
      <c r="T130" s="20">
        <f t="shared" si="51"/>
        <v>190.72</v>
      </c>
      <c r="U130" s="48"/>
    </row>
    <row r="131" spans="1:23" ht="34.5" customHeight="1" thickBot="1" x14ac:dyDescent="0.3">
      <c r="A131" s="13">
        <f t="shared" si="30"/>
        <v>112</v>
      </c>
      <c r="B131" s="29" t="s">
        <v>426</v>
      </c>
      <c r="C131" s="84" t="s">
        <v>373</v>
      </c>
      <c r="D131" s="85" t="s">
        <v>371</v>
      </c>
      <c r="E131" s="85">
        <f>4+8</f>
        <v>12</v>
      </c>
      <c r="F131" s="14">
        <v>20.04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20.04</v>
      </c>
      <c r="S131" s="20">
        <f t="shared" si="50"/>
        <v>20.04</v>
      </c>
      <c r="T131" s="20">
        <f t="shared" si="51"/>
        <v>240.48</v>
      </c>
      <c r="U131" s="48"/>
    </row>
    <row r="132" spans="1:23" s="12" customFormat="1" ht="26.25" thickBot="1" x14ac:dyDescent="0.4">
      <c r="A132" s="113" t="s">
        <v>212</v>
      </c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36">
        <f>SUM(T11:T131)</f>
        <v>30979.623600000006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471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63"/>
      <c r="L135" s="63"/>
      <c r="M135" s="63"/>
      <c r="N135" s="63"/>
      <c r="O135" s="63"/>
      <c r="P135" s="63"/>
      <c r="Q135" s="63"/>
      <c r="R135" s="63"/>
      <c r="S135" s="50"/>
      <c r="T135" s="63"/>
    </row>
    <row r="136" spans="1:23" ht="18.75" x14ac:dyDescent="0.25">
      <c r="A136" s="112" t="s">
        <v>451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A137:J137"/>
    <mergeCell ref="O8:O9"/>
    <mergeCell ref="P8:P9"/>
    <mergeCell ref="Q8:Q9"/>
    <mergeCell ref="R8:R9"/>
    <mergeCell ref="A10:E10"/>
    <mergeCell ref="A132:S132"/>
    <mergeCell ref="A135:J135"/>
    <mergeCell ref="A136:I136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1447800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3"/>
  <sheetViews>
    <sheetView view="pageBreakPreview" zoomScale="80" zoomScaleNormal="30" zoomScaleSheetLayoutView="80" workbookViewId="0">
      <selection activeCell="A92" sqref="A92:I92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231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32.25" thickBot="1" x14ac:dyDescent="0.3">
      <c r="A9" s="102"/>
      <c r="B9" s="102"/>
      <c r="C9" s="102"/>
      <c r="D9" s="102"/>
      <c r="E9" s="102"/>
      <c r="F9" s="67" t="s">
        <v>5</v>
      </c>
      <c r="G9" s="67" t="s">
        <v>278</v>
      </c>
      <c r="H9" s="68" t="s">
        <v>8</v>
      </c>
      <c r="I9" s="92" t="s">
        <v>428</v>
      </c>
      <c r="J9" s="66" t="s">
        <v>211</v>
      </c>
      <c r="K9" s="66" t="s">
        <v>208</v>
      </c>
      <c r="L9" s="66" t="s">
        <v>209</v>
      </c>
      <c r="M9" s="66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139</v>
      </c>
      <c r="D12" s="21" t="s">
        <v>138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224</v>
      </c>
      <c r="D13" s="21" t="s">
        <v>135</v>
      </c>
      <c r="E13" s="21">
        <v>232</v>
      </c>
      <c r="F13" s="14"/>
      <c r="G13" s="14"/>
      <c r="H13" s="14"/>
      <c r="I13" s="93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218</v>
      </c>
      <c r="D14" s="21" t="s">
        <v>135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219</v>
      </c>
      <c r="D15" s="21" t="s">
        <v>135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143</v>
      </c>
      <c r="D16" s="21" t="s">
        <v>135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399</v>
      </c>
      <c r="C17" s="18" t="s">
        <v>170</v>
      </c>
      <c r="D17" s="21" t="s">
        <v>135</v>
      </c>
      <c r="E17" s="21">
        <v>1</v>
      </c>
      <c r="F17" s="14">
        <v>4.82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4.82</v>
      </c>
      <c r="S17" s="20">
        <f t="shared" si="5"/>
        <v>4.82</v>
      </c>
      <c r="T17" s="15">
        <f t="shared" si="6"/>
        <v>4.82</v>
      </c>
    </row>
    <row r="18" spans="1:20" ht="24.75" customHeight="1" thickBot="1" x14ac:dyDescent="0.3">
      <c r="A18" s="13">
        <f t="shared" si="7"/>
        <v>8</v>
      </c>
      <c r="B18" s="13"/>
      <c r="C18" s="18" t="s">
        <v>225</v>
      </c>
      <c r="D18" s="21" t="s">
        <v>135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313</v>
      </c>
      <c r="D19" s="21" t="s">
        <v>135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196</v>
      </c>
      <c r="D20" s="21" t="s">
        <v>135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226</v>
      </c>
      <c r="D21" s="21" t="s">
        <v>135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198</v>
      </c>
      <c r="D22" s="21" t="s">
        <v>135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199</v>
      </c>
      <c r="D23" s="21" t="s">
        <v>135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310</v>
      </c>
      <c r="C24" s="18" t="s">
        <v>150</v>
      </c>
      <c r="D24" s="21" t="s">
        <v>135</v>
      </c>
      <c r="E24" s="21">
        <v>1</v>
      </c>
      <c r="F24" s="14"/>
      <c r="G24" s="14">
        <v>53.83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53.83</v>
      </c>
      <c r="S24" s="20">
        <f t="shared" si="5"/>
        <v>53.83</v>
      </c>
      <c r="T24" s="15">
        <f t="shared" si="6"/>
        <v>53.83</v>
      </c>
    </row>
    <row r="25" spans="1:20" ht="28.5" customHeight="1" thickBot="1" x14ac:dyDescent="0.3">
      <c r="A25" s="13">
        <f t="shared" si="7"/>
        <v>15</v>
      </c>
      <c r="B25" s="13" t="s">
        <v>429</v>
      </c>
      <c r="C25" s="18" t="s">
        <v>151</v>
      </c>
      <c r="D25" s="21" t="s">
        <v>135</v>
      </c>
      <c r="E25" s="21">
        <v>1</v>
      </c>
      <c r="F25" s="14">
        <v>67.56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67.56</v>
      </c>
      <c r="S25" s="20">
        <f t="shared" si="5"/>
        <v>67.56</v>
      </c>
      <c r="T25" s="15">
        <f t="shared" si="6"/>
        <v>67.56</v>
      </c>
    </row>
    <row r="26" spans="1:20" ht="22.5" customHeight="1" thickBot="1" x14ac:dyDescent="0.3">
      <c r="A26" s="13">
        <f t="shared" si="7"/>
        <v>16</v>
      </c>
      <c r="B26" s="13" t="s">
        <v>395</v>
      </c>
      <c r="C26" s="18" t="s">
        <v>152</v>
      </c>
      <c r="D26" s="21" t="s">
        <v>135</v>
      </c>
      <c r="E26" s="21">
        <v>9</v>
      </c>
      <c r="F26" s="14">
        <v>0.74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0.74</v>
      </c>
      <c r="S26" s="20">
        <f t="shared" si="5"/>
        <v>0.74</v>
      </c>
      <c r="T26" s="15">
        <f t="shared" si="6"/>
        <v>6.66</v>
      </c>
    </row>
    <row r="27" spans="1:20" ht="23.25" customHeight="1" thickBot="1" x14ac:dyDescent="0.3">
      <c r="A27" s="13">
        <f t="shared" si="7"/>
        <v>17</v>
      </c>
      <c r="B27" s="13" t="s">
        <v>396</v>
      </c>
      <c r="C27" s="18" t="s">
        <v>153</v>
      </c>
      <c r="D27" s="21" t="s">
        <v>154</v>
      </c>
      <c r="E27" s="21">
        <v>1</v>
      </c>
      <c r="F27" s="14">
        <v>20.010000000000002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20.010000000000002</v>
      </c>
      <c r="S27" s="20">
        <f t="shared" si="5"/>
        <v>20.010000000000002</v>
      </c>
      <c r="T27" s="15">
        <f t="shared" si="6"/>
        <v>20.010000000000002</v>
      </c>
    </row>
    <row r="28" spans="1:20" ht="24.75" customHeight="1" thickBot="1" x14ac:dyDescent="0.3">
      <c r="A28" s="13">
        <f t="shared" si="7"/>
        <v>18</v>
      </c>
      <c r="B28" s="13" t="s">
        <v>397</v>
      </c>
      <c r="C28" s="18" t="s">
        <v>155</v>
      </c>
      <c r="D28" s="21" t="s">
        <v>156</v>
      </c>
      <c r="E28" s="21">
        <v>1</v>
      </c>
      <c r="F28" s="14">
        <f>3/2</f>
        <v>1.5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1.5</v>
      </c>
      <c r="S28" s="20">
        <f t="shared" si="5"/>
        <v>1.5</v>
      </c>
      <c r="T28" s="15">
        <f t="shared" si="6"/>
        <v>1.5</v>
      </c>
    </row>
    <row r="29" spans="1:20" ht="16.5" thickBot="1" x14ac:dyDescent="0.3">
      <c r="A29" s="13">
        <f t="shared" si="7"/>
        <v>19</v>
      </c>
      <c r="B29" s="13"/>
      <c r="C29" s="18" t="s">
        <v>227</v>
      </c>
      <c r="D29" s="21" t="s">
        <v>135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/>
      <c r="C30" s="18" t="s">
        <v>228</v>
      </c>
      <c r="D30" s="21" t="s">
        <v>135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160</v>
      </c>
      <c r="D31" s="21" t="s">
        <v>135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135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163</v>
      </c>
      <c r="D34" s="21" t="s">
        <v>136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434</v>
      </c>
      <c r="C35" s="18" t="s">
        <v>164</v>
      </c>
      <c r="D35" s="21" t="s">
        <v>135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165</v>
      </c>
      <c r="D36" s="21" t="s">
        <v>135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166</v>
      </c>
      <c r="D37" s="21" t="s">
        <v>135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430</v>
      </c>
      <c r="C38" s="18" t="s">
        <v>167</v>
      </c>
      <c r="D38" s="21" t="s">
        <v>135</v>
      </c>
      <c r="E38" s="21">
        <v>2</v>
      </c>
      <c r="F38" s="14">
        <v>12.1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12.1</v>
      </c>
      <c r="S38" s="20">
        <f t="shared" si="5"/>
        <v>12.1</v>
      </c>
      <c r="T38" s="15">
        <f t="shared" si="6"/>
        <v>24.2</v>
      </c>
    </row>
    <row r="39" spans="1:20" ht="23.25" customHeight="1" thickBot="1" x14ac:dyDescent="0.3">
      <c r="A39" s="13">
        <f t="shared" si="7"/>
        <v>29</v>
      </c>
      <c r="B39" s="13" t="s">
        <v>398</v>
      </c>
      <c r="C39" s="18" t="s">
        <v>168</v>
      </c>
      <c r="D39" s="21" t="s">
        <v>135</v>
      </c>
      <c r="E39" s="21">
        <v>1</v>
      </c>
      <c r="F39" s="14">
        <v>43.54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43.54</v>
      </c>
      <c r="S39" s="20">
        <f t="shared" si="5"/>
        <v>43.54</v>
      </c>
      <c r="T39" s="15">
        <f t="shared" si="6"/>
        <v>43.54</v>
      </c>
    </row>
    <row r="40" spans="1:20" ht="34.5" customHeight="1" thickBot="1" x14ac:dyDescent="0.3">
      <c r="A40" s="13">
        <f t="shared" si="7"/>
        <v>30</v>
      </c>
      <c r="B40" s="13"/>
      <c r="C40" s="18" t="s">
        <v>229</v>
      </c>
      <c r="D40" s="21" t="s">
        <v>135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400</v>
      </c>
      <c r="C41" s="18" t="s">
        <v>172</v>
      </c>
      <c r="D41" s="21" t="s">
        <v>135</v>
      </c>
      <c r="E41" s="21">
        <v>2</v>
      </c>
      <c r="F41" s="14">
        <v>1.63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1.63</v>
      </c>
      <c r="S41" s="20">
        <f t="shared" si="5"/>
        <v>1.63</v>
      </c>
      <c r="T41" s="15">
        <f t="shared" si="6"/>
        <v>3.26</v>
      </c>
    </row>
    <row r="42" spans="1:20" ht="27.75" customHeight="1" thickBot="1" x14ac:dyDescent="0.3">
      <c r="A42" s="13">
        <f t="shared" si="7"/>
        <v>32</v>
      </c>
      <c r="B42" s="13" t="s">
        <v>401</v>
      </c>
      <c r="C42" s="18" t="s">
        <v>175</v>
      </c>
      <c r="D42" s="21" t="s">
        <v>135</v>
      </c>
      <c r="E42" s="21">
        <v>5</v>
      </c>
      <c r="F42" s="14">
        <v>2.2000000000000002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2.2000000000000002</v>
      </c>
      <c r="S42" s="20">
        <f t="shared" si="5"/>
        <v>2.2000000000000002</v>
      </c>
      <c r="T42" s="15">
        <f t="shared" si="6"/>
        <v>11</v>
      </c>
    </row>
    <row r="43" spans="1:20" ht="27" customHeight="1" thickBot="1" x14ac:dyDescent="0.3">
      <c r="A43" s="13">
        <f t="shared" si="7"/>
        <v>33</v>
      </c>
      <c r="B43" s="13"/>
      <c r="C43" s="18" t="s">
        <v>176</v>
      </c>
      <c r="D43" s="21" t="s">
        <v>135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402</v>
      </c>
      <c r="C44" s="18" t="s">
        <v>177</v>
      </c>
      <c r="D44" s="21" t="s">
        <v>135</v>
      </c>
      <c r="E44" s="21">
        <v>4</v>
      </c>
      <c r="F44" s="14">
        <v>39.58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39.58</v>
      </c>
      <c r="S44" s="20">
        <f t="shared" si="5"/>
        <v>39.58</v>
      </c>
      <c r="T44" s="15">
        <f t="shared" si="6"/>
        <v>158.32</v>
      </c>
    </row>
    <row r="45" spans="1:20" ht="26.25" customHeight="1" thickBot="1" x14ac:dyDescent="0.3">
      <c r="A45" s="13">
        <f t="shared" si="7"/>
        <v>35</v>
      </c>
      <c r="B45" s="13"/>
      <c r="C45" s="18" t="s">
        <v>178</v>
      </c>
      <c r="D45" s="21" t="s">
        <v>136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404</v>
      </c>
      <c r="C46" s="18" t="s">
        <v>180</v>
      </c>
      <c r="D46" s="21" t="s">
        <v>135</v>
      </c>
      <c r="E46" s="21">
        <v>3</v>
      </c>
      <c r="F46" s="14">
        <v>1.86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1.86</v>
      </c>
      <c r="S46" s="20">
        <f t="shared" si="5"/>
        <v>1.86</v>
      </c>
      <c r="T46" s="15">
        <f t="shared" si="6"/>
        <v>5.58</v>
      </c>
    </row>
    <row r="47" spans="1:20" ht="24.75" customHeight="1" thickBot="1" x14ac:dyDescent="0.3">
      <c r="A47" s="13">
        <f t="shared" si="7"/>
        <v>37</v>
      </c>
      <c r="B47" s="13" t="s">
        <v>403</v>
      </c>
      <c r="C47" s="18" t="s">
        <v>179</v>
      </c>
      <c r="D47" s="21" t="s">
        <v>135</v>
      </c>
      <c r="E47" s="21">
        <v>3</v>
      </c>
      <c r="F47" s="14">
        <v>3.43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3.43</v>
      </c>
      <c r="S47" s="20">
        <f t="shared" si="5"/>
        <v>3.43</v>
      </c>
      <c r="T47" s="15">
        <f t="shared" si="6"/>
        <v>10.290000000000001</v>
      </c>
    </row>
    <row r="48" spans="1:20" ht="27" customHeight="1" thickBot="1" x14ac:dyDescent="0.3">
      <c r="A48" s="13">
        <f t="shared" si="7"/>
        <v>38</v>
      </c>
      <c r="B48" s="13" t="s">
        <v>405</v>
      </c>
      <c r="C48" s="18" t="s">
        <v>181</v>
      </c>
      <c r="D48" s="21" t="s">
        <v>135</v>
      </c>
      <c r="E48" s="21">
        <v>1</v>
      </c>
      <c r="F48" s="14">
        <v>235.24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235.24</v>
      </c>
      <c r="S48" s="20">
        <f t="shared" si="5"/>
        <v>235.24</v>
      </c>
      <c r="T48" s="15">
        <f t="shared" si="6"/>
        <v>235.24</v>
      </c>
    </row>
    <row r="49" spans="1:21" ht="90" customHeight="1" thickBot="1" x14ac:dyDescent="0.3">
      <c r="A49" s="13">
        <f t="shared" si="7"/>
        <v>39</v>
      </c>
      <c r="B49" s="13" t="s">
        <v>406</v>
      </c>
      <c r="C49" s="18" t="s">
        <v>230</v>
      </c>
      <c r="D49" s="21" t="s">
        <v>135</v>
      </c>
      <c r="E49" s="21">
        <v>1</v>
      </c>
      <c r="F49" s="14"/>
      <c r="G49" s="14"/>
      <c r="H49" s="14">
        <v>1733.3</v>
      </c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363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 t="s">
        <v>409</v>
      </c>
      <c r="C51" s="18" t="s">
        <v>185</v>
      </c>
      <c r="D51" s="21" t="s">
        <v>135</v>
      </c>
      <c r="E51" s="21">
        <v>0.5</v>
      </c>
      <c r="F51" s="14">
        <f>0.66*25</f>
        <v>16.5</v>
      </c>
      <c r="G51" s="14"/>
      <c r="H51" s="14"/>
      <c r="I51" s="15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16.5</v>
      </c>
      <c r="S51" s="20">
        <f t="shared" ref="S51:S59" si="13">IF(F51&gt;0,F51,IF(G51&gt;0,G51,IF(H51&gt;0,H51,MEDIAN(I51:M51))))</f>
        <v>16.5</v>
      </c>
      <c r="T51" s="15">
        <f t="shared" ref="T51:T59" si="14">IF(R51&gt;S51,S51*E51,R51*E51)</f>
        <v>8.25</v>
      </c>
    </row>
    <row r="52" spans="1:21" ht="24.75" customHeight="1" thickBot="1" x14ac:dyDescent="0.3">
      <c r="A52" s="13">
        <f t="shared" ref="A52:A59" si="15">A51+1</f>
        <v>41</v>
      </c>
      <c r="B52" s="29" t="s">
        <v>410</v>
      </c>
      <c r="C52" s="18" t="s">
        <v>186</v>
      </c>
      <c r="D52" s="21" t="s">
        <v>135</v>
      </c>
      <c r="E52" s="21">
        <v>3</v>
      </c>
      <c r="F52" s="14"/>
      <c r="G52" s="14">
        <f>131.31/100</f>
        <v>1.3130999999999999</v>
      </c>
      <c r="H52" s="14"/>
      <c r="I52" s="15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1.3130999999999999</v>
      </c>
      <c r="S52" s="20">
        <f t="shared" si="13"/>
        <v>1.3130999999999999</v>
      </c>
      <c r="T52" s="15">
        <f t="shared" si="14"/>
        <v>3.9392999999999998</v>
      </c>
    </row>
    <row r="53" spans="1:21" ht="25.5" customHeight="1" thickBot="1" x14ac:dyDescent="0.3">
      <c r="A53" s="13">
        <f t="shared" si="15"/>
        <v>42</v>
      </c>
      <c r="B53" s="29" t="s">
        <v>411</v>
      </c>
      <c r="C53" s="18" t="s">
        <v>187</v>
      </c>
      <c r="D53" s="21" t="s">
        <v>135</v>
      </c>
      <c r="E53" s="21">
        <v>2</v>
      </c>
      <c r="F53" s="14"/>
      <c r="G53" s="14">
        <f>139.27/50</f>
        <v>2.7854000000000001</v>
      </c>
      <c r="H53" s="14"/>
      <c r="I53" s="15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2.7854000000000001</v>
      </c>
      <c r="S53" s="20">
        <f t="shared" si="13"/>
        <v>2.7854000000000001</v>
      </c>
      <c r="T53" s="15">
        <f t="shared" si="14"/>
        <v>5.5708000000000002</v>
      </c>
    </row>
    <row r="54" spans="1:21" ht="27" customHeight="1" thickBot="1" x14ac:dyDescent="0.3">
      <c r="A54" s="13">
        <f t="shared" si="15"/>
        <v>43</v>
      </c>
      <c r="B54" s="29"/>
      <c r="C54" s="18" t="s">
        <v>188</v>
      </c>
      <c r="D54" s="21" t="s">
        <v>135</v>
      </c>
      <c r="E54" s="21">
        <v>3</v>
      </c>
      <c r="F54" s="14"/>
      <c r="G54" s="14"/>
      <c r="H54" s="14"/>
      <c r="I54" s="15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189</v>
      </c>
      <c r="D55" s="21" t="s">
        <v>135</v>
      </c>
      <c r="E55" s="21">
        <v>8</v>
      </c>
      <c r="F55" s="14"/>
      <c r="G55" s="14">
        <v>0.55000000000000004</v>
      </c>
      <c r="H55" s="14"/>
      <c r="I55" s="15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0.55000000000000004</v>
      </c>
      <c r="S55" s="20">
        <f t="shared" si="13"/>
        <v>0.55000000000000004</v>
      </c>
      <c r="T55" s="15">
        <f t="shared" si="14"/>
        <v>4.4000000000000004</v>
      </c>
    </row>
    <row r="56" spans="1:21" ht="26.25" customHeight="1" thickBot="1" x14ac:dyDescent="0.3">
      <c r="A56" s="13">
        <f t="shared" si="15"/>
        <v>45</v>
      </c>
      <c r="B56" s="29" t="s">
        <v>413</v>
      </c>
      <c r="C56" s="18" t="s">
        <v>190</v>
      </c>
      <c r="D56" s="21" t="s">
        <v>154</v>
      </c>
      <c r="E56" s="21">
        <v>1</v>
      </c>
      <c r="F56" s="14"/>
      <c r="G56" s="14">
        <v>16.399999999999999</v>
      </c>
      <c r="H56" s="14"/>
      <c r="I56" s="15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16.399999999999999</v>
      </c>
      <c r="S56" s="20">
        <f t="shared" si="13"/>
        <v>16.399999999999999</v>
      </c>
      <c r="T56" s="15">
        <f t="shared" si="14"/>
        <v>16.399999999999999</v>
      </c>
    </row>
    <row r="57" spans="1:21" ht="47.25" customHeight="1" thickBot="1" x14ac:dyDescent="0.3">
      <c r="A57" s="13">
        <f t="shared" si="15"/>
        <v>46</v>
      </c>
      <c r="B57" s="29" t="s">
        <v>414</v>
      </c>
      <c r="C57" s="18" t="s">
        <v>191</v>
      </c>
      <c r="D57" s="21" t="s">
        <v>135</v>
      </c>
      <c r="E57" s="21">
        <v>1</v>
      </c>
      <c r="F57" s="14">
        <v>54.4</v>
      </c>
      <c r="G57" s="14"/>
      <c r="H57" s="14"/>
      <c r="I57" s="15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54.4</v>
      </c>
      <c r="S57" s="20">
        <f t="shared" si="13"/>
        <v>54.4</v>
      </c>
      <c r="T57" s="15">
        <f t="shared" si="14"/>
        <v>54.4</v>
      </c>
    </row>
    <row r="58" spans="1:21" ht="58.5" customHeight="1" thickBot="1" x14ac:dyDescent="0.3">
      <c r="A58" s="13">
        <f t="shared" si="15"/>
        <v>47</v>
      </c>
      <c r="B58" s="81" t="s">
        <v>307</v>
      </c>
      <c r="C58" s="18" t="s">
        <v>131</v>
      </c>
      <c r="D58" s="21" t="s">
        <v>132</v>
      </c>
      <c r="E58" s="21">
        <v>16</v>
      </c>
      <c r="F58" s="14">
        <v>22.7</v>
      </c>
      <c r="G58" s="14"/>
      <c r="H58" s="22"/>
      <c r="I58" s="14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308</v>
      </c>
      <c r="C59" s="18" t="s">
        <v>133</v>
      </c>
      <c r="D59" s="21" t="s">
        <v>132</v>
      </c>
      <c r="E59" s="21">
        <v>32</v>
      </c>
      <c r="F59" s="14"/>
      <c r="G59" s="14"/>
      <c r="H59" s="22">
        <v>18.89</v>
      </c>
      <c r="I59" s="22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6" t="s">
        <v>315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6" t="s">
        <v>316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439</v>
      </c>
      <c r="D62" s="85" t="s">
        <v>318</v>
      </c>
      <c r="E62" s="85">
        <v>1</v>
      </c>
      <c r="F62" s="14"/>
      <c r="G62" s="14"/>
      <c r="H62" s="14"/>
      <c r="I62" s="15">
        <v>58</v>
      </c>
      <c r="J62" s="14"/>
      <c r="K62" s="14"/>
      <c r="L62" s="14"/>
      <c r="M62" s="14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375</v>
      </c>
      <c r="D63" s="85" t="s">
        <v>320</v>
      </c>
      <c r="E63" s="85">
        <v>1</v>
      </c>
      <c r="F63" s="14"/>
      <c r="G63" s="14"/>
      <c r="H63" s="14"/>
      <c r="I63" s="15">
        <v>106.39</v>
      </c>
      <c r="J63" s="14"/>
      <c r="K63" s="14"/>
      <c r="L63" s="14"/>
      <c r="M63" s="14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440</v>
      </c>
      <c r="D64" s="85" t="s">
        <v>320</v>
      </c>
      <c r="E64" s="85">
        <v>1</v>
      </c>
      <c r="F64" s="14"/>
      <c r="G64" s="14"/>
      <c r="H64" s="14"/>
      <c r="I64" s="15">
        <v>361.69</v>
      </c>
      <c r="J64" s="14"/>
      <c r="K64" s="14"/>
      <c r="L64" s="14"/>
      <c r="M64" s="14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6" t="s">
        <v>340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441</v>
      </c>
      <c r="D66" s="85" t="s">
        <v>320</v>
      </c>
      <c r="E66" s="85">
        <v>50</v>
      </c>
      <c r="F66" s="14"/>
      <c r="G66" s="14"/>
      <c r="H66" s="14"/>
      <c r="I66" s="15">
        <v>16.59</v>
      </c>
      <c r="J66" s="14"/>
      <c r="K66" s="14"/>
      <c r="L66" s="14"/>
      <c r="M66" s="14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442</v>
      </c>
      <c r="D67" s="85" t="s">
        <v>320</v>
      </c>
      <c r="E67" s="85">
        <v>50</v>
      </c>
      <c r="F67" s="14"/>
      <c r="G67" s="14"/>
      <c r="H67" s="14"/>
      <c r="I67" s="15">
        <v>16.59</v>
      </c>
      <c r="J67" s="14"/>
      <c r="K67" s="14"/>
      <c r="L67" s="14"/>
      <c r="M67" s="14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443</v>
      </c>
      <c r="D68" s="85" t="s">
        <v>320</v>
      </c>
      <c r="E68" s="85">
        <v>50</v>
      </c>
      <c r="F68" s="14"/>
      <c r="G68" s="14"/>
      <c r="H68" s="14"/>
      <c r="I68" s="15">
        <v>12.67</v>
      </c>
      <c r="J68" s="14"/>
      <c r="K68" s="14"/>
      <c r="L68" s="14"/>
      <c r="M68" s="14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444</v>
      </c>
      <c r="C69" s="84" t="s">
        <v>445</v>
      </c>
      <c r="D69" s="85" t="s">
        <v>318</v>
      </c>
      <c r="E69" s="85">
        <v>50</v>
      </c>
      <c r="F69" s="14"/>
      <c r="G69" s="14"/>
      <c r="H69" s="14">
        <v>3.69</v>
      </c>
      <c r="I69" s="15"/>
      <c r="J69" s="14"/>
      <c r="K69" s="14"/>
      <c r="L69" s="14"/>
      <c r="M69" s="14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3.69</v>
      </c>
      <c r="S69" s="20">
        <f t="shared" si="29"/>
        <v>3.69</v>
      </c>
      <c r="T69" s="20">
        <f t="shared" si="30"/>
        <v>184.5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343</v>
      </c>
      <c r="D70" s="85" t="s">
        <v>320</v>
      </c>
      <c r="E70" s="85">
        <v>3</v>
      </c>
      <c r="F70" s="14"/>
      <c r="G70" s="14"/>
      <c r="H70" s="14"/>
      <c r="I70" s="93">
        <v>145</v>
      </c>
      <c r="J70" s="14"/>
      <c r="K70" s="14"/>
      <c r="L70" s="14"/>
      <c r="M70" s="14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446</v>
      </c>
      <c r="C71" s="84" t="s">
        <v>447</v>
      </c>
      <c r="D71" s="85" t="s">
        <v>318</v>
      </c>
      <c r="E71" s="85">
        <v>2</v>
      </c>
      <c r="F71" s="14"/>
      <c r="G71" s="14"/>
      <c r="H71" s="14">
        <v>1.62</v>
      </c>
      <c r="I71" s="15"/>
      <c r="J71" s="14"/>
      <c r="K71" s="14"/>
      <c r="L71" s="14"/>
      <c r="M71" s="14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1.62</v>
      </c>
      <c r="S71" s="20">
        <f t="shared" si="29"/>
        <v>1.62</v>
      </c>
      <c r="T71" s="20">
        <f t="shared" si="30"/>
        <v>3.24</v>
      </c>
      <c r="U71" s="48"/>
    </row>
    <row r="72" spans="1:21" ht="36" customHeight="1" thickBot="1" x14ac:dyDescent="0.3">
      <c r="A72" s="13">
        <f t="shared" si="31"/>
        <v>58</v>
      </c>
      <c r="B72" s="29" t="s">
        <v>448</v>
      </c>
      <c r="C72" s="84" t="s">
        <v>449</v>
      </c>
      <c r="D72" s="85" t="s">
        <v>320</v>
      </c>
      <c r="E72" s="85">
        <v>1</v>
      </c>
      <c r="F72" s="14">
        <v>4.0599999999999996</v>
      </c>
      <c r="G72" s="14"/>
      <c r="H72" s="14"/>
      <c r="I72" s="15"/>
      <c r="J72" s="14"/>
      <c r="K72" s="14"/>
      <c r="L72" s="14"/>
      <c r="M72" s="14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4.0599999999999996</v>
      </c>
      <c r="S72" s="20">
        <f t="shared" si="29"/>
        <v>4.0599999999999996</v>
      </c>
      <c r="T72" s="20">
        <f t="shared" si="30"/>
        <v>4.0599999999999996</v>
      </c>
      <c r="U72" s="48"/>
    </row>
    <row r="73" spans="1:21" ht="27" customHeight="1" thickBot="1" x14ac:dyDescent="0.3">
      <c r="A73" s="99" t="s">
        <v>350</v>
      </c>
      <c r="B73" s="100"/>
      <c r="C73" s="100"/>
      <c r="D73" s="100"/>
      <c r="E73" s="101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437</v>
      </c>
      <c r="C74" s="84" t="s">
        <v>376</v>
      </c>
      <c r="D74" s="85" t="s">
        <v>320</v>
      </c>
      <c r="E74" s="85">
        <v>10</v>
      </c>
      <c r="F74" s="14">
        <v>9.16</v>
      </c>
      <c r="G74" s="14"/>
      <c r="H74" s="14"/>
      <c r="I74" s="15"/>
      <c r="J74" s="14"/>
      <c r="K74" s="14"/>
      <c r="L74" s="14"/>
      <c r="M74" s="14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9.16</v>
      </c>
      <c r="S74" s="20">
        <f t="shared" ref="S74:S81" si="37">IF(F74&gt;0,F74,IF(G74&gt;0,G74,IF(H74&gt;0,H74,MEDIAN(I74:M74))))</f>
        <v>9.16</v>
      </c>
      <c r="T74" s="20">
        <f t="shared" ref="T74:T81" si="38">IF(R74&gt;S74,S74*E74,R74*E74)</f>
        <v>91.6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450</v>
      </c>
      <c r="C75" s="84" t="s">
        <v>379</v>
      </c>
      <c r="D75" s="85" t="s">
        <v>320</v>
      </c>
      <c r="E75" s="85">
        <v>1</v>
      </c>
      <c r="F75" s="14"/>
      <c r="G75" s="14"/>
      <c r="H75" s="14">
        <v>3.95</v>
      </c>
      <c r="I75" s="15"/>
      <c r="J75" s="14"/>
      <c r="K75" s="14"/>
      <c r="L75" s="14"/>
      <c r="M75" s="14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420</v>
      </c>
      <c r="C76" s="84" t="s">
        <v>380</v>
      </c>
      <c r="D76" s="85" t="s">
        <v>320</v>
      </c>
      <c r="E76" s="85">
        <v>2</v>
      </c>
      <c r="F76" s="14">
        <v>2.2799999999999998</v>
      </c>
      <c r="G76" s="14"/>
      <c r="H76" s="14"/>
      <c r="I76" s="15"/>
      <c r="J76" s="14"/>
      <c r="K76" s="14"/>
      <c r="L76" s="14"/>
      <c r="M76" s="14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2.2799999999999998</v>
      </c>
      <c r="S76" s="20">
        <f t="shared" si="37"/>
        <v>2.2799999999999998</v>
      </c>
      <c r="T76" s="20">
        <f t="shared" si="38"/>
        <v>4.5599999999999996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354</v>
      </c>
      <c r="D77" s="85" t="s">
        <v>318</v>
      </c>
      <c r="E77" s="85">
        <v>3</v>
      </c>
      <c r="F77" s="14"/>
      <c r="G77" s="14"/>
      <c r="H77" s="14"/>
      <c r="I77" s="15">
        <f>31.35/100</f>
        <v>0.3135</v>
      </c>
      <c r="J77" s="14"/>
      <c r="K77" s="14"/>
      <c r="L77" s="14"/>
      <c r="M77" s="14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355</v>
      </c>
      <c r="D78" s="85" t="s">
        <v>320</v>
      </c>
      <c r="E78" s="85">
        <v>10</v>
      </c>
      <c r="F78" s="14"/>
      <c r="G78" s="14"/>
      <c r="H78" s="14"/>
      <c r="I78" s="15">
        <f>94/50</f>
        <v>1.88</v>
      </c>
      <c r="J78" s="14"/>
      <c r="K78" s="14"/>
      <c r="L78" s="14"/>
      <c r="M78" s="14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359</v>
      </c>
      <c r="D79" s="85" t="s">
        <v>318</v>
      </c>
      <c r="E79" s="85">
        <v>1</v>
      </c>
      <c r="F79" s="93"/>
      <c r="G79" s="14"/>
      <c r="H79" s="14"/>
      <c r="I79" s="15">
        <v>8.08</v>
      </c>
      <c r="J79" s="14"/>
      <c r="K79" s="14"/>
      <c r="L79" s="14"/>
      <c r="M79" s="14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360</v>
      </c>
      <c r="D80" s="85" t="s">
        <v>320</v>
      </c>
      <c r="E80" s="85">
        <v>2</v>
      </c>
      <c r="F80" s="93"/>
      <c r="G80" s="14"/>
      <c r="H80" s="14"/>
      <c r="I80" s="15">
        <v>0.62020000000000008</v>
      </c>
      <c r="J80" s="14"/>
      <c r="K80" s="14"/>
      <c r="L80" s="14"/>
      <c r="M80" s="14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361</v>
      </c>
      <c r="D81" s="85" t="s">
        <v>318</v>
      </c>
      <c r="E81" s="85">
        <v>1</v>
      </c>
      <c r="F81" s="14"/>
      <c r="G81" s="14"/>
      <c r="H81" s="14"/>
      <c r="I81" s="15">
        <v>2.88</v>
      </c>
      <c r="J81" s="14"/>
      <c r="K81" s="14"/>
      <c r="L81" s="14"/>
      <c r="M81" s="14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6" t="s">
        <v>364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421</v>
      </c>
      <c r="C83" s="84" t="s">
        <v>365</v>
      </c>
      <c r="D83" s="85" t="s">
        <v>366</v>
      </c>
      <c r="E83" s="85">
        <v>8.4</v>
      </c>
      <c r="F83" s="14">
        <v>74.41</v>
      </c>
      <c r="G83" s="14"/>
      <c r="H83" s="14"/>
      <c r="I83" s="14"/>
      <c r="J83" s="14"/>
      <c r="K83" s="14"/>
      <c r="L83" s="14"/>
      <c r="M83" s="14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74.41</v>
      </c>
      <c r="S83" s="20">
        <f t="shared" ref="S83:S87" si="45">IF(F83&gt;0,F83,IF(G83&gt;0,G83,IF(H83&gt;0,H83,MEDIAN(I83:M83))))</f>
        <v>74.41</v>
      </c>
      <c r="T83" s="20">
        <f t="shared" ref="T83:T87" si="46">IF(R83&gt;S83,S83*E83,R83*E83)</f>
        <v>625.04399999999998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422</v>
      </c>
      <c r="C84" s="84" t="s">
        <v>367</v>
      </c>
      <c r="D84" s="85" t="s">
        <v>368</v>
      </c>
      <c r="E84" s="85">
        <v>12</v>
      </c>
      <c r="F84" s="14">
        <v>5.49</v>
      </c>
      <c r="G84" s="14"/>
      <c r="H84" s="14"/>
      <c r="I84" s="14"/>
      <c r="J84" s="14"/>
      <c r="K84" s="14"/>
      <c r="L84" s="14"/>
      <c r="M84" s="14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5.49</v>
      </c>
      <c r="S84" s="20">
        <f t="shared" si="45"/>
        <v>5.49</v>
      </c>
      <c r="T84" s="20">
        <f t="shared" si="46"/>
        <v>65.88</v>
      </c>
      <c r="U84" s="48"/>
    </row>
    <row r="85" spans="1:23" ht="61.5" customHeight="1" thickBot="1" x14ac:dyDescent="0.3">
      <c r="A85" s="13">
        <f t="shared" si="47"/>
        <v>69</v>
      </c>
      <c r="B85" s="29" t="s">
        <v>423</v>
      </c>
      <c r="C85" s="84" t="s">
        <v>369</v>
      </c>
      <c r="D85" s="85" t="s">
        <v>366</v>
      </c>
      <c r="E85" s="85">
        <v>8.4</v>
      </c>
      <c r="F85" s="14">
        <v>11.62</v>
      </c>
      <c r="G85" s="14"/>
      <c r="H85" s="14"/>
      <c r="I85" s="14"/>
      <c r="J85" s="14"/>
      <c r="K85" s="14"/>
      <c r="L85" s="14"/>
      <c r="M85" s="14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11.62</v>
      </c>
      <c r="S85" s="20">
        <f t="shared" si="45"/>
        <v>11.62</v>
      </c>
      <c r="T85" s="20">
        <f t="shared" si="46"/>
        <v>97.608000000000004</v>
      </c>
      <c r="U85" s="48"/>
    </row>
    <row r="86" spans="1:23" ht="34.5" customHeight="1" thickBot="1" x14ac:dyDescent="0.3">
      <c r="A86" s="13">
        <f t="shared" si="47"/>
        <v>70</v>
      </c>
      <c r="B86" s="29" t="s">
        <v>425</v>
      </c>
      <c r="C86" s="84" t="s">
        <v>372</v>
      </c>
      <c r="D86" s="85" t="s">
        <v>371</v>
      </c>
      <c r="E86" s="85">
        <v>4</v>
      </c>
      <c r="F86" s="14">
        <v>23.84</v>
      </c>
      <c r="G86" s="14"/>
      <c r="H86" s="14"/>
      <c r="I86" s="14"/>
      <c r="J86" s="14"/>
      <c r="K86" s="14"/>
      <c r="L86" s="14"/>
      <c r="M86" s="14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23.84</v>
      </c>
      <c r="S86" s="20">
        <f t="shared" si="45"/>
        <v>23.84</v>
      </c>
      <c r="T86" s="20">
        <f t="shared" si="46"/>
        <v>95.36</v>
      </c>
      <c r="U86" s="48"/>
    </row>
    <row r="87" spans="1:23" ht="24" customHeight="1" thickBot="1" x14ac:dyDescent="0.3">
      <c r="A87" s="13">
        <f t="shared" si="47"/>
        <v>71</v>
      </c>
      <c r="B87" s="29" t="s">
        <v>426</v>
      </c>
      <c r="C87" s="84" t="s">
        <v>373</v>
      </c>
      <c r="D87" s="85" t="s">
        <v>371</v>
      </c>
      <c r="E87" s="85">
        <v>4</v>
      </c>
      <c r="F87" s="14">
        <v>20.04</v>
      </c>
      <c r="G87" s="14"/>
      <c r="H87" s="14"/>
      <c r="I87" s="14"/>
      <c r="J87" s="14"/>
      <c r="K87" s="14"/>
      <c r="L87" s="14"/>
      <c r="M87" s="14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20.04</v>
      </c>
      <c r="S87" s="20">
        <f t="shared" si="45"/>
        <v>20.04</v>
      </c>
      <c r="T87" s="20">
        <f t="shared" si="46"/>
        <v>80.16</v>
      </c>
      <c r="U87" s="48"/>
    </row>
    <row r="88" spans="1:23" s="12" customFormat="1" ht="26.25" thickBot="1" x14ac:dyDescent="0.4">
      <c r="A88" s="108" t="s">
        <v>212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10"/>
      <c r="T88" s="36">
        <f>SUM(T11:T87)</f>
        <v>17992.833000000006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2" t="s">
        <v>471</v>
      </c>
      <c r="B91" s="112"/>
      <c r="C91" s="112"/>
      <c r="D91" s="112"/>
      <c r="E91" s="112"/>
      <c r="F91" s="112"/>
      <c r="G91" s="112"/>
      <c r="H91" s="112"/>
      <c r="I91" s="112"/>
      <c r="J91" s="112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2" t="s">
        <v>451</v>
      </c>
      <c r="B92" s="112"/>
      <c r="C92" s="112"/>
      <c r="D92" s="112"/>
      <c r="E92" s="112"/>
      <c r="F92" s="112"/>
      <c r="G92" s="112"/>
      <c r="H92" s="112"/>
      <c r="I92" s="112"/>
    </row>
    <row r="93" spans="1:23" x14ac:dyDescent="0.25">
      <c r="A93" s="112"/>
      <c r="B93" s="112"/>
      <c r="C93" s="112"/>
      <c r="D93" s="112"/>
      <c r="E93" s="112"/>
      <c r="F93" s="112"/>
      <c r="G93" s="112"/>
      <c r="H93" s="112"/>
      <c r="I93" s="112"/>
      <c r="J93" s="112"/>
    </row>
  </sheetData>
  <mergeCells count="22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1152525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5"/>
  <sheetViews>
    <sheetView view="pageBreakPreview" zoomScale="80" zoomScaleNormal="30" zoomScaleSheetLayoutView="80" workbookViewId="0">
      <selection activeCell="A64" sqref="A64:I64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267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71" t="s">
        <v>5</v>
      </c>
      <c r="G9" s="71" t="s">
        <v>278</v>
      </c>
      <c r="H9" s="72" t="s">
        <v>8</v>
      </c>
      <c r="I9" s="92" t="s">
        <v>428</v>
      </c>
      <c r="J9" s="70" t="s">
        <v>211</v>
      </c>
      <c r="K9" s="70" t="s">
        <v>208</v>
      </c>
      <c r="L9" s="70" t="s">
        <v>209</v>
      </c>
      <c r="M9" s="70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/>
      <c r="C11" s="23" t="s">
        <v>232</v>
      </c>
      <c r="D11" s="21" t="s">
        <v>136</v>
      </c>
      <c r="E11" s="21">
        <v>1800</v>
      </c>
      <c r="F11" s="14"/>
      <c r="G11" s="14"/>
      <c r="H11" s="14"/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:P45" si="0">N11+O11</f>
        <v>0.5</v>
      </c>
      <c r="Q11" s="15">
        <f t="shared" ref="Q11:Q45" si="1">N11-O11</f>
        <v>0.5</v>
      </c>
      <c r="R11" s="15">
        <f t="shared" ref="R11:R45" si="2">IF(F11&gt;0,F11,IF(G11&gt;0,G11,IF(H11&gt;0,H11,AVERAGEIFS(I11:M11,I11:M11,"&gt;="&amp;Q11,I11:M11,"&lt;="&amp;P11))))</f>
        <v>0.5</v>
      </c>
      <c r="S11" s="20">
        <f>IF(F11&gt;0,F11,IF(G11&gt;0,G11,IF(H11&gt;0,H11,MEDIAN(I11:M11))))</f>
        <v>0.5</v>
      </c>
      <c r="T11" s="15">
        <f>IF(R11&gt;S11,S11*E11,R11*E11)</f>
        <v>900</v>
      </c>
    </row>
    <row r="12" spans="1:20" ht="40.5" customHeight="1" thickBot="1" x14ac:dyDescent="0.3">
      <c r="A12" s="13">
        <f>A11+1</f>
        <v>2</v>
      </c>
      <c r="B12" s="13"/>
      <c r="C12" s="23" t="s">
        <v>233</v>
      </c>
      <c r="D12" s="21" t="s">
        <v>136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45" si="3">AVERAGE(I12:M12)</f>
        <v>1.4155000000000002</v>
      </c>
      <c r="O12" s="15">
        <f t="shared" ref="O12:O45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45" si="5">IF(F12&gt;0,F12,IF(G12&gt;0,G12,IF(H12&gt;0,H12,MEDIAN(I12:M12))))</f>
        <v>1.4155000000000002</v>
      </c>
      <c r="T12" s="15">
        <f t="shared" ref="T12:T45" si="6">IF(R12&gt;S12,S12*E12,R12*E12)</f>
        <v>212.32500000000002</v>
      </c>
    </row>
    <row r="13" spans="1:20" ht="27" customHeight="1" thickBot="1" x14ac:dyDescent="0.3">
      <c r="A13" s="13">
        <f t="shared" ref="A13:A45" si="7">A12+1</f>
        <v>3</v>
      </c>
      <c r="B13" s="13">
        <v>9551</v>
      </c>
      <c r="C13" s="23" t="s">
        <v>234</v>
      </c>
      <c r="D13" s="21" t="s">
        <v>135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si="3"/>
        <v>0.85</v>
      </c>
      <c r="O13" s="15">
        <f t="shared" si="4"/>
        <v>0</v>
      </c>
      <c r="P13" s="15">
        <f t="shared" si="0"/>
        <v>0.85</v>
      </c>
      <c r="Q13" s="15">
        <f t="shared" si="1"/>
        <v>0.85</v>
      </c>
      <c r="R13" s="15">
        <f t="shared" si="2"/>
        <v>1.02</v>
      </c>
      <c r="S13" s="20">
        <f t="shared" si="5"/>
        <v>1.02</v>
      </c>
      <c r="T13" s="15">
        <f t="shared" si="6"/>
        <v>130.56</v>
      </c>
    </row>
    <row r="14" spans="1:20" ht="24" customHeight="1" thickBot="1" x14ac:dyDescent="0.3">
      <c r="A14" s="13">
        <f t="shared" si="7"/>
        <v>4</v>
      </c>
      <c r="B14" s="13"/>
      <c r="C14" s="23" t="s">
        <v>235</v>
      </c>
      <c r="D14" s="21" t="s">
        <v>135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3"/>
        <v>0.76</v>
      </c>
      <c r="O14" s="15">
        <f t="shared" si="4"/>
        <v>0</v>
      </c>
      <c r="P14" s="15">
        <f t="shared" si="0"/>
        <v>0.76</v>
      </c>
      <c r="Q14" s="15">
        <f t="shared" si="1"/>
        <v>0.76</v>
      </c>
      <c r="R14" s="15">
        <f t="shared" si="2"/>
        <v>0.76</v>
      </c>
      <c r="S14" s="20">
        <f t="shared" si="5"/>
        <v>0.76</v>
      </c>
      <c r="T14" s="15">
        <f t="shared" si="6"/>
        <v>63.84</v>
      </c>
    </row>
    <row r="15" spans="1:20" ht="30" customHeight="1" thickBot="1" x14ac:dyDescent="0.3">
      <c r="A15" s="13">
        <f t="shared" si="7"/>
        <v>5</v>
      </c>
      <c r="B15" s="13"/>
      <c r="C15" s="18" t="s">
        <v>236</v>
      </c>
      <c r="D15" s="21" t="s">
        <v>135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3"/>
        <v>1.43</v>
      </c>
      <c r="O15" s="15">
        <f t="shared" si="4"/>
        <v>0</v>
      </c>
      <c r="P15" s="15">
        <f t="shared" si="0"/>
        <v>1.43</v>
      </c>
      <c r="Q15" s="15">
        <f t="shared" si="1"/>
        <v>1.43</v>
      </c>
      <c r="R15" s="15">
        <f t="shared" si="2"/>
        <v>1.43</v>
      </c>
      <c r="S15" s="20">
        <f t="shared" si="5"/>
        <v>1.43</v>
      </c>
      <c r="T15" s="15">
        <f t="shared" si="6"/>
        <v>120.11999999999999</v>
      </c>
    </row>
    <row r="16" spans="1:20" ht="24.75" customHeight="1" thickBot="1" x14ac:dyDescent="0.3">
      <c r="A16" s="13">
        <f t="shared" si="7"/>
        <v>6</v>
      </c>
      <c r="B16" s="13"/>
      <c r="C16" s="18" t="s">
        <v>237</v>
      </c>
      <c r="D16" s="21" t="s">
        <v>135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3"/>
        <v>1.5</v>
      </c>
      <c r="O16" s="15">
        <f t="shared" si="4"/>
        <v>0</v>
      </c>
      <c r="P16" s="15">
        <f t="shared" si="0"/>
        <v>1.5</v>
      </c>
      <c r="Q16" s="15">
        <f t="shared" si="1"/>
        <v>1.5</v>
      </c>
      <c r="R16" s="15">
        <f t="shared" si="2"/>
        <v>1.5</v>
      </c>
      <c r="S16" s="20">
        <f t="shared" si="5"/>
        <v>1.5</v>
      </c>
      <c r="T16" s="15">
        <f t="shared" si="6"/>
        <v>189</v>
      </c>
    </row>
    <row r="17" spans="1:20" ht="22.5" customHeight="1" thickBot="1" x14ac:dyDescent="0.3">
      <c r="A17" s="13">
        <f t="shared" si="7"/>
        <v>7</v>
      </c>
      <c r="B17" s="13"/>
      <c r="C17" s="18" t="s">
        <v>238</v>
      </c>
      <c r="D17" s="21" t="s">
        <v>135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3"/>
        <v>0.95</v>
      </c>
      <c r="O17" s="15">
        <f t="shared" si="4"/>
        <v>0</v>
      </c>
      <c r="P17" s="15">
        <f t="shared" si="0"/>
        <v>0.95</v>
      </c>
      <c r="Q17" s="15">
        <f t="shared" si="1"/>
        <v>0.95</v>
      </c>
      <c r="R17" s="15">
        <f t="shared" si="2"/>
        <v>0.95</v>
      </c>
      <c r="S17" s="20">
        <f t="shared" si="5"/>
        <v>0.95</v>
      </c>
      <c r="T17" s="15">
        <f t="shared" si="6"/>
        <v>0.95</v>
      </c>
    </row>
    <row r="18" spans="1:20" ht="24.75" customHeight="1" thickBot="1" x14ac:dyDescent="0.3">
      <c r="A18" s="13">
        <f t="shared" si="7"/>
        <v>8</v>
      </c>
      <c r="B18" s="13"/>
      <c r="C18" s="18" t="s">
        <v>239</v>
      </c>
      <c r="D18" s="21" t="s">
        <v>135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3"/>
        <v>2.96</v>
      </c>
      <c r="O18" s="15">
        <f t="shared" si="4"/>
        <v>0</v>
      </c>
      <c r="P18" s="15">
        <f t="shared" si="0"/>
        <v>2.96</v>
      </c>
      <c r="Q18" s="15">
        <f t="shared" si="1"/>
        <v>2.96</v>
      </c>
      <c r="R18" s="15">
        <f t="shared" si="2"/>
        <v>2.96</v>
      </c>
      <c r="S18" s="20">
        <f t="shared" si="5"/>
        <v>2.96</v>
      </c>
      <c r="T18" s="15">
        <f t="shared" si="6"/>
        <v>2.96</v>
      </c>
    </row>
    <row r="19" spans="1:20" ht="36.75" customHeight="1" thickBot="1" x14ac:dyDescent="0.3">
      <c r="A19" s="13">
        <f t="shared" si="7"/>
        <v>9</v>
      </c>
      <c r="B19" s="13"/>
      <c r="C19" s="18" t="s">
        <v>240</v>
      </c>
      <c r="D19" s="21" t="s">
        <v>135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3"/>
        <v>4</v>
      </c>
      <c r="O19" s="15">
        <f t="shared" si="4"/>
        <v>0</v>
      </c>
      <c r="P19" s="15">
        <f t="shared" si="0"/>
        <v>4</v>
      </c>
      <c r="Q19" s="15">
        <f t="shared" si="1"/>
        <v>4</v>
      </c>
      <c r="R19" s="15">
        <f t="shared" si="2"/>
        <v>4</v>
      </c>
      <c r="S19" s="20">
        <f t="shared" si="5"/>
        <v>4</v>
      </c>
      <c r="T19" s="15">
        <f t="shared" si="6"/>
        <v>168</v>
      </c>
    </row>
    <row r="20" spans="1:20" ht="33.75" customHeight="1" thickBot="1" x14ac:dyDescent="0.3">
      <c r="A20" s="13">
        <f t="shared" si="7"/>
        <v>10</v>
      </c>
      <c r="B20" s="13" t="s">
        <v>435</v>
      </c>
      <c r="C20" s="18" t="s">
        <v>241</v>
      </c>
      <c r="D20" s="21" t="s">
        <v>135</v>
      </c>
      <c r="E20" s="21">
        <v>8</v>
      </c>
      <c r="F20" s="14">
        <v>1.63</v>
      </c>
      <c r="G20" s="14"/>
      <c r="H20" s="14"/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1.63</v>
      </c>
      <c r="S20" s="20">
        <f t="shared" si="5"/>
        <v>1.63</v>
      </c>
      <c r="T20" s="15">
        <f t="shared" si="6"/>
        <v>13.04</v>
      </c>
    </row>
    <row r="21" spans="1:20" ht="25.5" customHeight="1" thickBot="1" x14ac:dyDescent="0.3">
      <c r="A21" s="13">
        <f t="shared" si="7"/>
        <v>11</v>
      </c>
      <c r="B21" s="13"/>
      <c r="C21" s="18" t="s">
        <v>242</v>
      </c>
      <c r="D21" s="21" t="s">
        <v>135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3"/>
        <v>3.84</v>
      </c>
      <c r="O21" s="15">
        <f t="shared" si="4"/>
        <v>0</v>
      </c>
      <c r="P21" s="15">
        <f t="shared" si="0"/>
        <v>3.84</v>
      </c>
      <c r="Q21" s="15">
        <f t="shared" si="1"/>
        <v>3.84</v>
      </c>
      <c r="R21" s="15">
        <f t="shared" si="2"/>
        <v>3.84</v>
      </c>
      <c r="S21" s="20">
        <f t="shared" si="5"/>
        <v>3.84</v>
      </c>
      <c r="T21" s="15">
        <f t="shared" si="6"/>
        <v>7.68</v>
      </c>
    </row>
    <row r="22" spans="1:20" ht="24" customHeight="1" thickBot="1" x14ac:dyDescent="0.3">
      <c r="A22" s="13">
        <f t="shared" si="7"/>
        <v>12</v>
      </c>
      <c r="B22" s="13"/>
      <c r="C22" s="18" t="s">
        <v>243</v>
      </c>
      <c r="D22" s="21" t="s">
        <v>135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3"/>
        <v>3.04</v>
      </c>
      <c r="O22" s="15">
        <f t="shared" si="4"/>
        <v>0</v>
      </c>
      <c r="P22" s="15">
        <f t="shared" si="0"/>
        <v>3.04</v>
      </c>
      <c r="Q22" s="15">
        <f t="shared" si="1"/>
        <v>3.04</v>
      </c>
      <c r="R22" s="15">
        <f t="shared" si="2"/>
        <v>3.04</v>
      </c>
      <c r="S22" s="20">
        <f t="shared" si="5"/>
        <v>3.04</v>
      </c>
      <c r="T22" s="15">
        <f t="shared" si="6"/>
        <v>18.240000000000002</v>
      </c>
    </row>
    <row r="23" spans="1:20" ht="23.25" customHeight="1" thickBot="1" x14ac:dyDescent="0.3">
      <c r="A23" s="13">
        <f t="shared" si="7"/>
        <v>13</v>
      </c>
      <c r="B23" s="13"/>
      <c r="C23" s="18" t="s">
        <v>244</v>
      </c>
      <c r="D23" s="21" t="s">
        <v>135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si="3"/>
        <v>2.96</v>
      </c>
      <c r="O23" s="15">
        <f t="shared" si="4"/>
        <v>0</v>
      </c>
      <c r="P23" s="15">
        <f t="shared" si="0"/>
        <v>2.96</v>
      </c>
      <c r="Q23" s="15">
        <f t="shared" si="1"/>
        <v>2.96</v>
      </c>
      <c r="R23" s="15">
        <f t="shared" si="2"/>
        <v>2.96</v>
      </c>
      <c r="S23" s="20">
        <f t="shared" si="5"/>
        <v>2.96</v>
      </c>
      <c r="T23" s="15">
        <f t="shared" si="6"/>
        <v>2.96</v>
      </c>
    </row>
    <row r="24" spans="1:20" ht="21" customHeight="1" thickBot="1" x14ac:dyDescent="0.3">
      <c r="A24" s="13">
        <f t="shared" si="7"/>
        <v>14</v>
      </c>
      <c r="B24" s="13"/>
      <c r="C24" s="18" t="s">
        <v>245</v>
      </c>
      <c r="D24" s="21" t="s">
        <v>135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3"/>
        <v>9</v>
      </c>
      <c r="O24" s="15">
        <f t="shared" si="4"/>
        <v>0</v>
      </c>
      <c r="P24" s="15">
        <f t="shared" si="0"/>
        <v>9</v>
      </c>
      <c r="Q24" s="15">
        <f t="shared" si="1"/>
        <v>9</v>
      </c>
      <c r="R24" s="15">
        <f t="shared" si="2"/>
        <v>9</v>
      </c>
      <c r="S24" s="20">
        <f t="shared" si="5"/>
        <v>9</v>
      </c>
      <c r="T24" s="15">
        <f t="shared" si="6"/>
        <v>18</v>
      </c>
    </row>
    <row r="25" spans="1:20" ht="28.5" customHeight="1" thickBot="1" x14ac:dyDescent="0.3">
      <c r="A25" s="13">
        <f t="shared" si="7"/>
        <v>15</v>
      </c>
      <c r="B25" s="13"/>
      <c r="C25" s="18" t="s">
        <v>246</v>
      </c>
      <c r="D25" s="21" t="s">
        <v>135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3"/>
        <v>10.52</v>
      </c>
      <c r="O25" s="15">
        <f t="shared" si="4"/>
        <v>0</v>
      </c>
      <c r="P25" s="15">
        <f t="shared" si="0"/>
        <v>10.52</v>
      </c>
      <c r="Q25" s="15">
        <f t="shared" si="1"/>
        <v>10.52</v>
      </c>
      <c r="R25" s="15">
        <f t="shared" si="2"/>
        <v>10.52</v>
      </c>
      <c r="S25" s="20">
        <f t="shared" si="5"/>
        <v>10.52</v>
      </c>
      <c r="T25" s="15">
        <f t="shared" si="6"/>
        <v>10.52</v>
      </c>
    </row>
    <row r="26" spans="1:20" ht="22.5" customHeight="1" thickBot="1" x14ac:dyDescent="0.3">
      <c r="A26" s="13">
        <f t="shared" si="7"/>
        <v>16</v>
      </c>
      <c r="B26" s="13"/>
      <c r="C26" s="18" t="s">
        <v>247</v>
      </c>
      <c r="D26" s="21" t="s">
        <v>135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3"/>
        <v>18.7</v>
      </c>
      <c r="O26" s="15">
        <f t="shared" si="4"/>
        <v>0</v>
      </c>
      <c r="P26" s="15">
        <f t="shared" si="0"/>
        <v>18.7</v>
      </c>
      <c r="Q26" s="15">
        <f t="shared" si="1"/>
        <v>18.7</v>
      </c>
      <c r="R26" s="15">
        <f t="shared" si="2"/>
        <v>18.7</v>
      </c>
      <c r="S26" s="20">
        <f t="shared" si="5"/>
        <v>18.7</v>
      </c>
      <c r="T26" s="15">
        <f t="shared" si="6"/>
        <v>37.4</v>
      </c>
    </row>
    <row r="27" spans="1:20" ht="23.25" customHeight="1" thickBot="1" x14ac:dyDescent="0.3">
      <c r="A27" s="13">
        <f t="shared" si="7"/>
        <v>17</v>
      </c>
      <c r="B27" s="13"/>
      <c r="C27" s="18" t="s">
        <v>248</v>
      </c>
      <c r="D27" s="21" t="s">
        <v>135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3"/>
        <v>23.28</v>
      </c>
      <c r="O27" s="15">
        <f t="shared" si="4"/>
        <v>0</v>
      </c>
      <c r="P27" s="15">
        <f t="shared" si="0"/>
        <v>23.28</v>
      </c>
      <c r="Q27" s="15">
        <f t="shared" si="1"/>
        <v>23.28</v>
      </c>
      <c r="R27" s="15">
        <f t="shared" si="2"/>
        <v>23.28</v>
      </c>
      <c r="S27" s="20">
        <f t="shared" si="5"/>
        <v>23.28</v>
      </c>
      <c r="T27" s="15">
        <f t="shared" si="6"/>
        <v>116.4</v>
      </c>
    </row>
    <row r="28" spans="1:20" ht="24.75" customHeight="1" thickBot="1" x14ac:dyDescent="0.3">
      <c r="A28" s="13">
        <f t="shared" si="7"/>
        <v>18</v>
      </c>
      <c r="B28" s="13"/>
      <c r="C28" s="18" t="s">
        <v>249</v>
      </c>
      <c r="D28" s="21" t="s">
        <v>250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3"/>
        <v>16.68</v>
      </c>
      <c r="O28" s="15">
        <f t="shared" si="4"/>
        <v>0</v>
      </c>
      <c r="P28" s="15">
        <f t="shared" si="0"/>
        <v>16.68</v>
      </c>
      <c r="Q28" s="15">
        <f t="shared" si="1"/>
        <v>16.68</v>
      </c>
      <c r="R28" s="15">
        <f t="shared" si="2"/>
        <v>16.68</v>
      </c>
      <c r="S28" s="20">
        <f t="shared" si="5"/>
        <v>16.68</v>
      </c>
      <c r="T28" s="15">
        <f t="shared" si="6"/>
        <v>16.68</v>
      </c>
    </row>
    <row r="29" spans="1:20" ht="21.75" customHeight="1" thickBot="1" x14ac:dyDescent="0.3">
      <c r="A29" s="13">
        <f t="shared" si="7"/>
        <v>19</v>
      </c>
      <c r="B29" s="13"/>
      <c r="C29" s="18" t="s">
        <v>251</v>
      </c>
      <c r="D29" s="21" t="s">
        <v>135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3"/>
        <v>37.9</v>
      </c>
      <c r="O29" s="15">
        <f t="shared" si="4"/>
        <v>0</v>
      </c>
      <c r="P29" s="15">
        <f t="shared" si="0"/>
        <v>37.9</v>
      </c>
      <c r="Q29" s="15">
        <f t="shared" si="1"/>
        <v>37.9</v>
      </c>
      <c r="R29" s="15">
        <f t="shared" si="2"/>
        <v>37.9</v>
      </c>
      <c r="S29" s="20">
        <f t="shared" si="5"/>
        <v>37.9</v>
      </c>
      <c r="T29" s="15">
        <f t="shared" si="6"/>
        <v>37.9</v>
      </c>
    </row>
    <row r="30" spans="1:20" ht="30" customHeight="1" thickBot="1" x14ac:dyDescent="0.3">
      <c r="A30" s="13">
        <f t="shared" si="7"/>
        <v>20</v>
      </c>
      <c r="B30" s="13"/>
      <c r="C30" s="18" t="s">
        <v>252</v>
      </c>
      <c r="D30" s="21" t="s">
        <v>135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3"/>
        <v>34.86</v>
      </c>
      <c r="O30" s="15">
        <f t="shared" si="4"/>
        <v>0</v>
      </c>
      <c r="P30" s="15">
        <f t="shared" si="0"/>
        <v>34.86</v>
      </c>
      <c r="Q30" s="15">
        <f t="shared" si="1"/>
        <v>34.86</v>
      </c>
      <c r="R30" s="15">
        <f t="shared" si="2"/>
        <v>34.86</v>
      </c>
      <c r="S30" s="20">
        <f t="shared" si="5"/>
        <v>34.86</v>
      </c>
      <c r="T30" s="15">
        <f t="shared" si="6"/>
        <v>69.72</v>
      </c>
    </row>
    <row r="31" spans="1:20" ht="24.75" customHeight="1" thickBot="1" x14ac:dyDescent="0.3">
      <c r="A31" s="13">
        <f t="shared" si="7"/>
        <v>21</v>
      </c>
      <c r="B31" s="13"/>
      <c r="C31" s="18" t="s">
        <v>253</v>
      </c>
      <c r="D31" s="21" t="s">
        <v>135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3"/>
        <v>102.6</v>
      </c>
      <c r="O31" s="15">
        <f t="shared" si="4"/>
        <v>0</v>
      </c>
      <c r="P31" s="15">
        <f t="shared" si="0"/>
        <v>102.6</v>
      </c>
      <c r="Q31" s="15">
        <f t="shared" si="1"/>
        <v>102.6</v>
      </c>
      <c r="R31" s="15">
        <f t="shared" si="2"/>
        <v>102.6</v>
      </c>
      <c r="S31" s="20">
        <f t="shared" si="5"/>
        <v>102.6</v>
      </c>
      <c r="T31" s="15">
        <f t="shared" si="6"/>
        <v>102.6</v>
      </c>
    </row>
    <row r="32" spans="1:20" ht="20.25" customHeight="1" thickBot="1" x14ac:dyDescent="0.3">
      <c r="A32" s="13">
        <f t="shared" si="7"/>
        <v>22</v>
      </c>
      <c r="B32" s="13"/>
      <c r="C32" s="18" t="s">
        <v>254</v>
      </c>
      <c r="D32" s="21" t="s">
        <v>135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3"/>
        <v>8.69</v>
      </c>
      <c r="O32" s="15">
        <f t="shared" si="4"/>
        <v>0</v>
      </c>
      <c r="P32" s="15">
        <f t="shared" si="0"/>
        <v>8.69</v>
      </c>
      <c r="Q32" s="15">
        <f t="shared" si="1"/>
        <v>8.69</v>
      </c>
      <c r="R32" s="15">
        <f t="shared" si="2"/>
        <v>8.69</v>
      </c>
      <c r="S32" s="20">
        <f t="shared" si="5"/>
        <v>8.69</v>
      </c>
      <c r="T32" s="15">
        <f t="shared" si="6"/>
        <v>8.69</v>
      </c>
    </row>
    <row r="33" spans="1:20" ht="24" customHeight="1" thickBot="1" x14ac:dyDescent="0.3">
      <c r="A33" s="13">
        <f t="shared" si="7"/>
        <v>23</v>
      </c>
      <c r="B33" s="13"/>
      <c r="C33" s="18" t="s">
        <v>255</v>
      </c>
      <c r="D33" s="21" t="s">
        <v>135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3"/>
        <v>1.35</v>
      </c>
      <c r="O33" s="15">
        <f t="shared" si="4"/>
        <v>0</v>
      </c>
      <c r="P33" s="15">
        <f t="shared" si="0"/>
        <v>1.35</v>
      </c>
      <c r="Q33" s="15">
        <f t="shared" si="1"/>
        <v>1.35</v>
      </c>
      <c r="R33" s="15">
        <f t="shared" si="2"/>
        <v>1.35</v>
      </c>
      <c r="S33" s="20">
        <f t="shared" si="5"/>
        <v>1.35</v>
      </c>
      <c r="T33" s="15">
        <f t="shared" si="6"/>
        <v>1.35</v>
      </c>
    </row>
    <row r="34" spans="1:20" ht="19.5" customHeight="1" thickBot="1" x14ac:dyDescent="0.3">
      <c r="A34" s="13">
        <f t="shared" si="7"/>
        <v>24</v>
      </c>
      <c r="B34" s="13"/>
      <c r="C34" s="18" t="s">
        <v>256</v>
      </c>
      <c r="D34" s="21" t="s">
        <v>135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3"/>
        <v>1.84</v>
      </c>
      <c r="O34" s="15">
        <f t="shared" si="4"/>
        <v>0</v>
      </c>
      <c r="P34" s="15">
        <f t="shared" si="0"/>
        <v>1.84</v>
      </c>
      <c r="Q34" s="15">
        <f t="shared" si="1"/>
        <v>1.84</v>
      </c>
      <c r="R34" s="15">
        <f t="shared" si="2"/>
        <v>1.84</v>
      </c>
      <c r="S34" s="20">
        <f t="shared" si="5"/>
        <v>1.84</v>
      </c>
      <c r="T34" s="15">
        <f t="shared" si="6"/>
        <v>1.84</v>
      </c>
    </row>
    <row r="35" spans="1:20" ht="22.5" customHeight="1" thickBot="1" x14ac:dyDescent="0.3">
      <c r="A35" s="13">
        <f t="shared" si="7"/>
        <v>25</v>
      </c>
      <c r="B35" s="13"/>
      <c r="C35" s="18" t="s">
        <v>257</v>
      </c>
      <c r="D35" s="21" t="s">
        <v>135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3"/>
        <v>125.31</v>
      </c>
      <c r="O35" s="15">
        <f t="shared" si="4"/>
        <v>0</v>
      </c>
      <c r="P35" s="15">
        <f t="shared" si="0"/>
        <v>125.31</v>
      </c>
      <c r="Q35" s="15">
        <f t="shared" si="1"/>
        <v>125.31</v>
      </c>
      <c r="R35" s="15">
        <f t="shared" si="2"/>
        <v>125.31</v>
      </c>
      <c r="S35" s="20">
        <f t="shared" si="5"/>
        <v>125.31</v>
      </c>
      <c r="T35" s="15">
        <f t="shared" si="6"/>
        <v>125.31</v>
      </c>
    </row>
    <row r="36" spans="1:20" ht="38.25" customHeight="1" thickBot="1" x14ac:dyDescent="0.3">
      <c r="A36" s="13">
        <f t="shared" si="7"/>
        <v>26</v>
      </c>
      <c r="B36" s="13"/>
      <c r="C36" s="18" t="s">
        <v>258</v>
      </c>
      <c r="D36" s="21" t="s">
        <v>136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3"/>
        <v>9</v>
      </c>
      <c r="O36" s="15">
        <f t="shared" si="4"/>
        <v>0</v>
      </c>
      <c r="P36" s="15">
        <f t="shared" si="0"/>
        <v>9</v>
      </c>
      <c r="Q36" s="15">
        <f t="shared" si="1"/>
        <v>9</v>
      </c>
      <c r="R36" s="15">
        <f t="shared" si="2"/>
        <v>9</v>
      </c>
      <c r="S36" s="20">
        <f t="shared" si="5"/>
        <v>9</v>
      </c>
      <c r="T36" s="15">
        <f t="shared" si="6"/>
        <v>13.5</v>
      </c>
    </row>
    <row r="37" spans="1:20" ht="22.5" customHeight="1" thickBot="1" x14ac:dyDescent="0.3">
      <c r="A37" s="13">
        <f t="shared" si="7"/>
        <v>27</v>
      </c>
      <c r="B37" s="13"/>
      <c r="C37" s="18" t="s">
        <v>259</v>
      </c>
      <c r="D37" s="21" t="s">
        <v>135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3"/>
        <v>6.49</v>
      </c>
      <c r="O37" s="15">
        <f t="shared" si="4"/>
        <v>0</v>
      </c>
      <c r="P37" s="15">
        <f t="shared" si="0"/>
        <v>6.49</v>
      </c>
      <c r="Q37" s="15">
        <f t="shared" si="1"/>
        <v>6.49</v>
      </c>
      <c r="R37" s="15">
        <f t="shared" si="2"/>
        <v>6.49</v>
      </c>
      <c r="S37" s="20">
        <f t="shared" si="5"/>
        <v>6.49</v>
      </c>
      <c r="T37" s="15">
        <f t="shared" si="6"/>
        <v>6.49</v>
      </c>
    </row>
    <row r="38" spans="1:20" ht="24.75" customHeight="1" thickBot="1" x14ac:dyDescent="0.3">
      <c r="A38" s="13">
        <f t="shared" si="7"/>
        <v>28</v>
      </c>
      <c r="B38" s="13" t="s">
        <v>436</v>
      </c>
      <c r="C38" s="18" t="s">
        <v>260</v>
      </c>
      <c r="D38" s="21" t="s">
        <v>135</v>
      </c>
      <c r="E38" s="21">
        <v>3</v>
      </c>
      <c r="F38" s="14">
        <v>24.93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24.93</v>
      </c>
      <c r="S38" s="20">
        <f t="shared" si="5"/>
        <v>24.93</v>
      </c>
      <c r="T38" s="15">
        <f t="shared" si="6"/>
        <v>74.789999999999992</v>
      </c>
    </row>
    <row r="39" spans="1:20" ht="23.25" customHeight="1" thickBot="1" x14ac:dyDescent="0.3">
      <c r="A39" s="13">
        <f t="shared" si="7"/>
        <v>29</v>
      </c>
      <c r="B39" s="13"/>
      <c r="C39" s="18" t="s">
        <v>261</v>
      </c>
      <c r="D39" s="21" t="s">
        <v>135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3"/>
        <v>2.58</v>
      </c>
      <c r="O39" s="15">
        <f t="shared" si="4"/>
        <v>0</v>
      </c>
      <c r="P39" s="15">
        <f t="shared" si="0"/>
        <v>2.58</v>
      </c>
      <c r="Q39" s="15">
        <f t="shared" si="1"/>
        <v>2.58</v>
      </c>
      <c r="R39" s="15">
        <f t="shared" si="2"/>
        <v>2.58</v>
      </c>
      <c r="S39" s="20">
        <f t="shared" si="5"/>
        <v>2.58</v>
      </c>
      <c r="T39" s="15">
        <f t="shared" si="6"/>
        <v>3.87</v>
      </c>
    </row>
    <row r="40" spans="1:20" ht="34.5" customHeight="1" thickBot="1" x14ac:dyDescent="0.3">
      <c r="A40" s="13">
        <f t="shared" si="7"/>
        <v>30</v>
      </c>
      <c r="B40" s="13"/>
      <c r="C40" s="18" t="s">
        <v>262</v>
      </c>
      <c r="D40" s="21" t="s">
        <v>135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3"/>
        <v>1.63</v>
      </c>
      <c r="O40" s="15">
        <f t="shared" si="4"/>
        <v>0</v>
      </c>
      <c r="P40" s="15">
        <f t="shared" si="0"/>
        <v>1.63</v>
      </c>
      <c r="Q40" s="15">
        <f t="shared" si="1"/>
        <v>1.63</v>
      </c>
      <c r="R40" s="15">
        <f t="shared" si="2"/>
        <v>1.63</v>
      </c>
      <c r="S40" s="20">
        <f t="shared" si="5"/>
        <v>1.63</v>
      </c>
      <c r="T40" s="15">
        <f t="shared" si="6"/>
        <v>3.26</v>
      </c>
    </row>
    <row r="41" spans="1:20" ht="26.25" customHeight="1" thickBot="1" x14ac:dyDescent="0.3">
      <c r="A41" s="13">
        <f t="shared" si="7"/>
        <v>31</v>
      </c>
      <c r="B41" s="13"/>
      <c r="C41" s="18" t="s">
        <v>263</v>
      </c>
      <c r="D41" s="21" t="s">
        <v>135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3"/>
        <v>55</v>
      </c>
      <c r="O41" s="15">
        <f t="shared" si="4"/>
        <v>0</v>
      </c>
      <c r="P41" s="15">
        <f t="shared" si="0"/>
        <v>55</v>
      </c>
      <c r="Q41" s="15">
        <f t="shared" si="1"/>
        <v>55</v>
      </c>
      <c r="R41" s="15">
        <f t="shared" si="2"/>
        <v>55</v>
      </c>
      <c r="S41" s="20">
        <f t="shared" si="5"/>
        <v>55</v>
      </c>
      <c r="T41" s="15">
        <f t="shared" si="6"/>
        <v>55</v>
      </c>
    </row>
    <row r="42" spans="1:20" ht="27.75" customHeight="1" thickBot="1" x14ac:dyDescent="0.3">
      <c r="A42" s="13">
        <f t="shared" si="7"/>
        <v>32</v>
      </c>
      <c r="B42" s="13"/>
      <c r="C42" s="18" t="s">
        <v>264</v>
      </c>
      <c r="D42" s="21" t="s">
        <v>135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3"/>
        <v>3.12</v>
      </c>
      <c r="O42" s="15">
        <f t="shared" si="4"/>
        <v>0</v>
      </c>
      <c r="P42" s="15">
        <f t="shared" si="0"/>
        <v>3.12</v>
      </c>
      <c r="Q42" s="15">
        <f t="shared" si="1"/>
        <v>3.12</v>
      </c>
      <c r="R42" s="15">
        <f t="shared" si="2"/>
        <v>3.12</v>
      </c>
      <c r="S42" s="20">
        <f t="shared" si="5"/>
        <v>3.12</v>
      </c>
      <c r="T42" s="15">
        <f t="shared" si="6"/>
        <v>3.12</v>
      </c>
    </row>
    <row r="43" spans="1:20" ht="27" customHeight="1" thickBot="1" x14ac:dyDescent="0.3">
      <c r="A43" s="13">
        <f t="shared" si="7"/>
        <v>33</v>
      </c>
      <c r="B43" s="13"/>
      <c r="C43" s="18" t="s">
        <v>265</v>
      </c>
      <c r="D43" s="21" t="s">
        <v>135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3"/>
        <v>2.96</v>
      </c>
      <c r="O43" s="15">
        <f t="shared" si="4"/>
        <v>0</v>
      </c>
      <c r="P43" s="15">
        <f t="shared" si="0"/>
        <v>2.96</v>
      </c>
      <c r="Q43" s="15">
        <f t="shared" si="1"/>
        <v>2.96</v>
      </c>
      <c r="R43" s="15">
        <f t="shared" si="2"/>
        <v>2.96</v>
      </c>
      <c r="S43" s="20">
        <f t="shared" si="5"/>
        <v>2.96</v>
      </c>
      <c r="T43" s="15">
        <f t="shared" si="6"/>
        <v>5.92</v>
      </c>
    </row>
    <row r="44" spans="1:20" ht="26.25" customHeight="1" thickBot="1" x14ac:dyDescent="0.3">
      <c r="A44" s="13">
        <f t="shared" si="7"/>
        <v>34</v>
      </c>
      <c r="B44" s="13"/>
      <c r="C44" s="18" t="s">
        <v>253</v>
      </c>
      <c r="D44" s="21" t="s">
        <v>135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3"/>
        <v>102.6</v>
      </c>
      <c r="O44" s="15">
        <f t="shared" si="4"/>
        <v>0</v>
      </c>
      <c r="P44" s="15">
        <f t="shared" si="0"/>
        <v>102.6</v>
      </c>
      <c r="Q44" s="15">
        <f t="shared" si="1"/>
        <v>102.6</v>
      </c>
      <c r="R44" s="15">
        <f t="shared" si="2"/>
        <v>102.6</v>
      </c>
      <c r="S44" s="20">
        <f t="shared" si="5"/>
        <v>102.6</v>
      </c>
      <c r="T44" s="15">
        <f t="shared" si="6"/>
        <v>102.6</v>
      </c>
    </row>
    <row r="45" spans="1:20" ht="93" customHeight="1" thickBot="1" x14ac:dyDescent="0.3">
      <c r="A45" s="13">
        <f t="shared" si="7"/>
        <v>35</v>
      </c>
      <c r="B45" s="13"/>
      <c r="C45" s="18" t="s">
        <v>266</v>
      </c>
      <c r="D45" s="21" t="s">
        <v>135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3"/>
        <v>362.31</v>
      </c>
      <c r="O45" s="15">
        <f t="shared" si="4"/>
        <v>0</v>
      </c>
      <c r="P45" s="15">
        <f t="shared" si="0"/>
        <v>362.31</v>
      </c>
      <c r="Q45" s="15">
        <f t="shared" si="1"/>
        <v>362.31</v>
      </c>
      <c r="R45" s="15">
        <f t="shared" si="2"/>
        <v>362.31</v>
      </c>
      <c r="S45" s="20">
        <f t="shared" si="5"/>
        <v>362.31</v>
      </c>
      <c r="T45" s="15">
        <f t="shared" si="6"/>
        <v>362.31</v>
      </c>
    </row>
    <row r="46" spans="1:20" s="12" customFormat="1" ht="30" customHeight="1" thickBot="1" x14ac:dyDescent="0.3">
      <c r="A46" s="86" t="s">
        <v>363</v>
      </c>
      <c r="B46" s="86"/>
      <c r="C46" s="86"/>
      <c r="D46" s="86"/>
      <c r="E46" s="86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81" t="s">
        <v>307</v>
      </c>
      <c r="C47" s="18" t="s">
        <v>131</v>
      </c>
      <c r="D47" s="21" t="s">
        <v>132</v>
      </c>
      <c r="E47" s="21">
        <v>8</v>
      </c>
      <c r="F47" s="14">
        <v>22.7</v>
      </c>
      <c r="G47" s="22"/>
      <c r="H47" s="22"/>
      <c r="I47" s="15"/>
      <c r="J47" s="15"/>
      <c r="K47" s="15"/>
      <c r="L47" s="15"/>
      <c r="M47" s="15"/>
      <c r="N47" s="15" t="e">
        <f t="shared" ref="N47" si="8">AVERAGE(I47:M47)</f>
        <v>#DIV/0!</v>
      </c>
      <c r="O47" s="15" t="e">
        <f t="shared" ref="O47" si="9">STDEVPA(I47:M47)</f>
        <v>#DIV/0!</v>
      </c>
      <c r="P47" s="15" t="e">
        <f t="shared" ref="P47" si="10">N47+O47</f>
        <v>#DIV/0!</v>
      </c>
      <c r="Q47" s="15" t="e">
        <f t="shared" ref="Q47" si="11">N47-O47</f>
        <v>#DIV/0!</v>
      </c>
      <c r="R47" s="15">
        <f t="shared" ref="R47" si="12">IF(F47&gt;0,F47,IF(G47&gt;0,G47,IF(H47&gt;0,H47,AVERAGEIFS(I47:M47,I47:M47,"&gt;="&amp;Q47,I47:M47,"&lt;="&amp;P47))))</f>
        <v>22.7</v>
      </c>
      <c r="S47" s="20">
        <f t="shared" ref="S47" si="13">IF(F47&gt;0,F47,IF(G47&gt;0,G47,IF(H47&gt;0,H47,MEDIAN(I47:M47))))</f>
        <v>22.7</v>
      </c>
      <c r="T47" s="15">
        <f t="shared" ref="T47" si="14">IF(R47&gt;S47,S47*E47,R47*E47)</f>
        <v>181.6</v>
      </c>
    </row>
    <row r="48" spans="1:20" ht="30" customHeight="1" thickBot="1" x14ac:dyDescent="0.3">
      <c r="A48" s="13">
        <f>A47+1</f>
        <v>37</v>
      </c>
      <c r="B48" s="81" t="s">
        <v>308</v>
      </c>
      <c r="C48" s="18" t="s">
        <v>133</v>
      </c>
      <c r="D48" s="21" t="s">
        <v>132</v>
      </c>
      <c r="E48" s="21">
        <v>8</v>
      </c>
      <c r="F48" s="14"/>
      <c r="G48" s="22"/>
      <c r="H48" s="22">
        <v>18.89</v>
      </c>
      <c r="I48" s="15"/>
      <c r="J48" s="15"/>
      <c r="K48" s="15"/>
      <c r="L48" s="15"/>
      <c r="M48" s="15"/>
      <c r="N48" s="15" t="e">
        <f t="shared" ref="N48" si="15">AVERAGE(I48:M48)</f>
        <v>#DIV/0!</v>
      </c>
      <c r="O48" s="15" t="e">
        <f t="shared" ref="O48" si="16">STDEVPA(I48:M48)</f>
        <v>#DIV/0!</v>
      </c>
      <c r="P48" s="15" t="e">
        <f t="shared" ref="P48" si="17">N48+O48</f>
        <v>#DIV/0!</v>
      </c>
      <c r="Q48" s="15" t="e">
        <f t="shared" ref="Q48" si="18">N48-O48</f>
        <v>#DIV/0!</v>
      </c>
      <c r="R48" s="15">
        <f t="shared" ref="R48" si="19">IF(F48&gt;0,F48,IF(G48&gt;0,G48,IF(H48&gt;0,H48,AVERAGEIFS(I48:M48,I48:M48,"&gt;="&amp;Q48,I48:M48,"&lt;="&amp;P48))))</f>
        <v>18.89</v>
      </c>
      <c r="S48" s="20">
        <f t="shared" ref="S48" si="20">IF(F48&gt;0,F48,IF(G48&gt;0,G48,IF(H48&gt;0,H48,MEDIAN(I48:M48))))</f>
        <v>18.89</v>
      </c>
      <c r="T48" s="15">
        <f t="shared" ref="T48" si="21">IF(R48&gt;S48,S48*E48,R48*E48)</f>
        <v>151.12</v>
      </c>
    </row>
    <row r="49" spans="1:23" ht="30" customHeight="1" thickBot="1" x14ac:dyDescent="0.3">
      <c r="A49" s="86" t="s">
        <v>315</v>
      </c>
      <c r="B49" s="86"/>
      <c r="C49" s="86"/>
      <c r="D49" s="86"/>
      <c r="E49" s="86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7" t="s">
        <v>374</v>
      </c>
      <c r="D50" s="88" t="s">
        <v>135</v>
      </c>
      <c r="E50" s="88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:N56" si="22">AVERAGE(I50:M50)</f>
        <v>58</v>
      </c>
      <c r="O50" s="15">
        <f t="shared" ref="O50:O56" si="23">STDEVPA(I50:M50)</f>
        <v>0</v>
      </c>
      <c r="P50" s="15">
        <f t="shared" ref="P50:P56" si="24">N50+O50</f>
        <v>58</v>
      </c>
      <c r="Q50" s="15">
        <f t="shared" ref="Q50:Q56" si="25">N50-O50</f>
        <v>58</v>
      </c>
      <c r="R50" s="15">
        <f t="shared" ref="R50:R56" si="26">IF(F50&gt;0,F50,IF(G50&gt;0,G50,IF(H50&gt;0,H50,AVERAGEIFS(I50:M50,I50:M50,"&gt;="&amp;Q50,I50:M50,"&lt;="&amp;P50))))</f>
        <v>58</v>
      </c>
      <c r="S50" s="20">
        <f t="shared" ref="S50:S56" si="27">IF(F50&gt;0,F50,IF(G50&gt;0,G50,IF(H50&gt;0,H50,MEDIAN(I50:M50))))</f>
        <v>58</v>
      </c>
      <c r="T50" s="15">
        <f t="shared" ref="T50:T56" si="28">IF(R50&gt;S50,S50*E50,R50*E50)</f>
        <v>58</v>
      </c>
    </row>
    <row r="51" spans="1:23" ht="43.5" customHeight="1" thickBot="1" x14ac:dyDescent="0.3">
      <c r="A51" s="13">
        <f t="shared" ref="A51:A56" si="29">A50+1</f>
        <v>39</v>
      </c>
      <c r="B51" s="29"/>
      <c r="C51" s="89" t="s">
        <v>375</v>
      </c>
      <c r="D51" s="90" t="s">
        <v>135</v>
      </c>
      <c r="E51" s="90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si="22"/>
        <v>106.39</v>
      </c>
      <c r="O51" s="15">
        <f t="shared" si="23"/>
        <v>0</v>
      </c>
      <c r="P51" s="15">
        <f t="shared" si="24"/>
        <v>106.39</v>
      </c>
      <c r="Q51" s="15">
        <f t="shared" si="25"/>
        <v>106.39</v>
      </c>
      <c r="R51" s="15">
        <f t="shared" si="26"/>
        <v>106.39</v>
      </c>
      <c r="S51" s="20">
        <f t="shared" si="27"/>
        <v>106.39</v>
      </c>
      <c r="T51" s="15">
        <f t="shared" si="28"/>
        <v>106.39</v>
      </c>
    </row>
    <row r="52" spans="1:23" ht="43.5" customHeight="1" thickBot="1" x14ac:dyDescent="0.3">
      <c r="A52" s="13">
        <f t="shared" si="29"/>
        <v>40</v>
      </c>
      <c r="B52" s="29" t="s">
        <v>437</v>
      </c>
      <c r="C52" s="89" t="s">
        <v>376</v>
      </c>
      <c r="D52" s="90" t="s">
        <v>136</v>
      </c>
      <c r="E52" s="90">
        <v>20</v>
      </c>
      <c r="F52" s="14">
        <v>7.94</v>
      </c>
      <c r="G52" s="14"/>
      <c r="H52" s="14"/>
      <c r="I52" s="15"/>
      <c r="J52" s="15"/>
      <c r="K52" s="15"/>
      <c r="L52" s="15"/>
      <c r="M52" s="15"/>
      <c r="N52" s="15" t="e">
        <f t="shared" si="22"/>
        <v>#DIV/0!</v>
      </c>
      <c r="O52" s="15" t="e">
        <f t="shared" si="23"/>
        <v>#DIV/0!</v>
      </c>
      <c r="P52" s="15" t="e">
        <f t="shared" si="24"/>
        <v>#DIV/0!</v>
      </c>
      <c r="Q52" s="15" t="e">
        <f t="shared" si="25"/>
        <v>#DIV/0!</v>
      </c>
      <c r="R52" s="15">
        <f t="shared" si="26"/>
        <v>7.94</v>
      </c>
      <c r="S52" s="20">
        <f t="shared" si="27"/>
        <v>7.94</v>
      </c>
      <c r="T52" s="15">
        <f t="shared" si="28"/>
        <v>158.80000000000001</v>
      </c>
    </row>
    <row r="53" spans="1:23" ht="71.25" customHeight="1" thickBot="1" x14ac:dyDescent="0.3">
      <c r="A53" s="13">
        <f t="shared" si="29"/>
        <v>41</v>
      </c>
      <c r="B53" s="29"/>
      <c r="C53" s="89" t="s">
        <v>377</v>
      </c>
      <c r="D53" s="90" t="s">
        <v>135</v>
      </c>
      <c r="E53" s="90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22"/>
        <v>249.74</v>
      </c>
      <c r="O53" s="15">
        <f t="shared" si="23"/>
        <v>0</v>
      </c>
      <c r="P53" s="15">
        <f t="shared" si="24"/>
        <v>249.74</v>
      </c>
      <c r="Q53" s="15">
        <f t="shared" si="25"/>
        <v>249.74</v>
      </c>
      <c r="R53" s="15">
        <f t="shared" si="26"/>
        <v>249.74</v>
      </c>
      <c r="S53" s="20">
        <f t="shared" si="27"/>
        <v>249.74</v>
      </c>
      <c r="T53" s="15">
        <f t="shared" si="28"/>
        <v>249.74</v>
      </c>
    </row>
    <row r="54" spans="1:23" ht="30.75" customHeight="1" thickBot="1" x14ac:dyDescent="0.3">
      <c r="A54" s="13">
        <f t="shared" si="29"/>
        <v>42</v>
      </c>
      <c r="B54" s="29"/>
      <c r="C54" s="89" t="s">
        <v>378</v>
      </c>
      <c r="D54" s="90" t="s">
        <v>136</v>
      </c>
      <c r="E54" s="90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22"/>
        <v>12.62</v>
      </c>
      <c r="O54" s="15">
        <f t="shared" si="23"/>
        <v>0</v>
      </c>
      <c r="P54" s="15">
        <f t="shared" si="24"/>
        <v>12.62</v>
      </c>
      <c r="Q54" s="15">
        <f t="shared" si="25"/>
        <v>12.62</v>
      </c>
      <c r="R54" s="15">
        <f t="shared" si="26"/>
        <v>12.62</v>
      </c>
      <c r="S54" s="20">
        <f t="shared" si="27"/>
        <v>12.62</v>
      </c>
      <c r="T54" s="15">
        <f t="shared" si="28"/>
        <v>252.39999999999998</v>
      </c>
    </row>
    <row r="55" spans="1:23" ht="30.75" customHeight="1" thickBot="1" x14ac:dyDescent="0.3">
      <c r="A55" s="13">
        <f t="shared" si="29"/>
        <v>43</v>
      </c>
      <c r="B55" s="29" t="s">
        <v>450</v>
      </c>
      <c r="C55" s="89" t="s">
        <v>379</v>
      </c>
      <c r="D55" s="90" t="s">
        <v>135</v>
      </c>
      <c r="E55" s="90">
        <v>2</v>
      </c>
      <c r="F55" s="14"/>
      <c r="G55" s="14"/>
      <c r="H55" s="14">
        <v>3.95</v>
      </c>
      <c r="I55" s="15"/>
      <c r="J55" s="15"/>
      <c r="K55" s="15"/>
      <c r="L55" s="15"/>
      <c r="M55" s="15"/>
      <c r="N55" s="15" t="e">
        <f t="shared" si="22"/>
        <v>#DIV/0!</v>
      </c>
      <c r="O55" s="15" t="e">
        <f t="shared" si="23"/>
        <v>#DIV/0!</v>
      </c>
      <c r="P55" s="15" t="e">
        <f t="shared" si="24"/>
        <v>#DIV/0!</v>
      </c>
      <c r="Q55" s="15" t="e">
        <f t="shared" si="25"/>
        <v>#DIV/0!</v>
      </c>
      <c r="R55" s="15">
        <f t="shared" si="26"/>
        <v>3.95</v>
      </c>
      <c r="S55" s="20">
        <f t="shared" si="27"/>
        <v>3.95</v>
      </c>
      <c r="T55" s="15">
        <f t="shared" si="28"/>
        <v>7.9</v>
      </c>
    </row>
    <row r="56" spans="1:23" ht="30.75" customHeight="1" thickBot="1" x14ac:dyDescent="0.3">
      <c r="A56" s="13">
        <f t="shared" si="29"/>
        <v>44</v>
      </c>
      <c r="B56" s="29"/>
      <c r="C56" s="89" t="s">
        <v>380</v>
      </c>
      <c r="D56" s="90" t="s">
        <v>135</v>
      </c>
      <c r="E56" s="90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22"/>
        <v>4.4400000000000004</v>
      </c>
      <c r="O56" s="15">
        <f t="shared" si="23"/>
        <v>0</v>
      </c>
      <c r="P56" s="15">
        <f t="shared" si="24"/>
        <v>4.4400000000000004</v>
      </c>
      <c r="Q56" s="15">
        <f t="shared" si="25"/>
        <v>4.4400000000000004</v>
      </c>
      <c r="R56" s="15">
        <f t="shared" si="26"/>
        <v>4.4400000000000004</v>
      </c>
      <c r="S56" s="20">
        <f t="shared" si="27"/>
        <v>4.4400000000000004</v>
      </c>
      <c r="T56" s="15">
        <f t="shared" si="28"/>
        <v>26.64</v>
      </c>
    </row>
    <row r="57" spans="1:23" ht="30" customHeight="1" thickBot="1" x14ac:dyDescent="0.3">
      <c r="A57" s="86" t="s">
        <v>364</v>
      </c>
      <c r="B57" s="86"/>
      <c r="C57" s="86"/>
      <c r="D57" s="86"/>
      <c r="E57" s="86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425</v>
      </c>
      <c r="C58" s="84" t="s">
        <v>372</v>
      </c>
      <c r="D58" s="85" t="s">
        <v>371</v>
      </c>
      <c r="E58" s="85">
        <v>4</v>
      </c>
      <c r="F58" s="14">
        <v>23.84</v>
      </c>
      <c r="G58" s="14"/>
      <c r="H58" s="14"/>
      <c r="I58" s="15"/>
      <c r="J58" s="15"/>
      <c r="K58" s="15"/>
      <c r="L58" s="15"/>
      <c r="M58" s="15"/>
      <c r="N58" s="15" t="e">
        <f t="shared" ref="N58" si="30">AVERAGE(I58:M58)</f>
        <v>#DIV/0!</v>
      </c>
      <c r="O58" s="15" t="e">
        <f t="shared" ref="O58" si="31">STDEVPA(I58:M58)</f>
        <v>#DIV/0!</v>
      </c>
      <c r="P58" s="15" t="e">
        <f t="shared" ref="P58" si="32">N58+O58</f>
        <v>#DIV/0!</v>
      </c>
      <c r="Q58" s="15" t="e">
        <f t="shared" ref="Q58" si="33">N58-O58</f>
        <v>#DIV/0!</v>
      </c>
      <c r="R58" s="15">
        <f t="shared" ref="R58" si="34">IF(F58&gt;0,F58,IF(G58&gt;0,G58,IF(H58&gt;0,H58,AVERAGEIFS(I58:M58,I58:M58,"&gt;="&amp;Q58,I58:M58,"&lt;="&amp;P58))))</f>
        <v>23.84</v>
      </c>
      <c r="S58" s="20">
        <f t="shared" ref="S58" si="35">IF(F58&gt;0,F58,IF(G58&gt;0,G58,IF(H58&gt;0,H58,MEDIAN(I58:M58))))</f>
        <v>23.84</v>
      </c>
      <c r="T58" s="15">
        <f t="shared" ref="T58" si="36">IF(R58&gt;S58,S58*E58,R58*E58)</f>
        <v>95.36</v>
      </c>
    </row>
    <row r="59" spans="1:23" ht="27.75" customHeight="1" thickBot="1" x14ac:dyDescent="0.3">
      <c r="A59" s="13">
        <f>A58+1</f>
        <v>46</v>
      </c>
      <c r="B59" s="29" t="s">
        <v>426</v>
      </c>
      <c r="C59" s="84" t="s">
        <v>373</v>
      </c>
      <c r="D59" s="85" t="s">
        <v>371</v>
      </c>
      <c r="E59" s="85">
        <v>4</v>
      </c>
      <c r="F59" s="14">
        <v>20.04</v>
      </c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0"/>
      <c r="T59" s="15"/>
    </row>
    <row r="60" spans="1:23" s="12" customFormat="1" ht="26.25" thickBot="1" x14ac:dyDescent="0.4">
      <c r="A60" s="113" t="s">
        <v>212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36">
        <f>SUM(T11:T58)</f>
        <v>4294.8949999999986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2" t="s">
        <v>471</v>
      </c>
      <c r="B63" s="112"/>
      <c r="C63" s="112"/>
      <c r="D63" s="112"/>
      <c r="E63" s="112"/>
      <c r="F63" s="112"/>
      <c r="G63" s="112"/>
      <c r="H63" s="112"/>
      <c r="I63" s="112"/>
      <c r="J63" s="112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2" t="s">
        <v>451</v>
      </c>
      <c r="B64" s="112"/>
      <c r="C64" s="112"/>
      <c r="D64" s="112"/>
      <c r="E64" s="112"/>
      <c r="F64" s="112"/>
      <c r="G64" s="112"/>
      <c r="H64" s="112"/>
      <c r="I64" s="112"/>
    </row>
    <row r="65" spans="1:10" x14ac:dyDescent="0.25">
      <c r="A65" s="112"/>
      <c r="B65" s="112"/>
      <c r="C65" s="112"/>
      <c r="D65" s="112"/>
      <c r="E65" s="112"/>
      <c r="F65" s="112"/>
      <c r="G65" s="112"/>
      <c r="H65" s="112"/>
      <c r="I65" s="112"/>
      <c r="J65" s="112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1228725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/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272</v>
      </c>
    </row>
    <row r="2" spans="1:5" x14ac:dyDescent="0.25">
      <c r="B2" s="2" t="s">
        <v>273</v>
      </c>
    </row>
    <row r="3" spans="1:5" x14ac:dyDescent="0.25">
      <c r="B3" s="2" t="s">
        <v>274</v>
      </c>
    </row>
    <row r="4" spans="1:5" x14ac:dyDescent="0.25">
      <c r="B4" s="7"/>
      <c r="C4" s="4"/>
      <c r="D4" s="4"/>
    </row>
    <row r="6" spans="1:5" x14ac:dyDescent="0.25">
      <c r="A6" s="96" t="s">
        <v>470</v>
      </c>
      <c r="B6" s="96"/>
      <c r="C6" s="96"/>
      <c r="D6" s="96"/>
      <c r="E6" s="96"/>
    </row>
    <row r="7" spans="1:5" x14ac:dyDescent="0.25">
      <c r="A7" s="97" t="s">
        <v>269</v>
      </c>
      <c r="B7" s="97"/>
      <c r="C7" s="97"/>
      <c r="D7" s="97"/>
      <c r="E7" s="97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270</v>
      </c>
      <c r="C9" s="76" t="s">
        <v>271</v>
      </c>
      <c r="D9" s="76" t="s">
        <v>275</v>
      </c>
      <c r="E9" s="77" t="s">
        <v>276</v>
      </c>
    </row>
    <row r="10" spans="1:5" ht="55.5" customHeight="1" thickBot="1" x14ac:dyDescent="0.3">
      <c r="A10" s="21" t="s">
        <v>452</v>
      </c>
      <c r="B10" s="95" t="s">
        <v>458</v>
      </c>
      <c r="C10" s="21">
        <f>80</f>
        <v>80</v>
      </c>
      <c r="D10" s="20">
        <f>'1-ASPER-1-ha'!T69</f>
        <v>13638.364052000001</v>
      </c>
      <c r="E10" s="20">
        <f>C10*D10</f>
        <v>1091069.1241600001</v>
      </c>
    </row>
    <row r="11" spans="1:5" ht="55.5" customHeight="1" thickBot="1" x14ac:dyDescent="0.3">
      <c r="A11" s="21" t="s">
        <v>453</v>
      </c>
      <c r="B11" s="95" t="s">
        <v>459</v>
      </c>
      <c r="C11" s="21">
        <f>80</f>
        <v>80</v>
      </c>
      <c r="D11" s="20">
        <f>'2-MICROASPER-1-ha'!T132</f>
        <v>30337.786200000017</v>
      </c>
      <c r="E11" s="20">
        <f t="shared" ref="E11:E14" si="0">C11*D11</f>
        <v>2427022.8960000016</v>
      </c>
    </row>
    <row r="12" spans="1:5" ht="55.5" customHeight="1" thickBot="1" x14ac:dyDescent="0.3">
      <c r="A12" s="21" t="s">
        <v>454</v>
      </c>
      <c r="B12" s="95" t="s">
        <v>460</v>
      </c>
      <c r="C12" s="21">
        <f>70</f>
        <v>70</v>
      </c>
      <c r="D12" s="20">
        <f>'3-MICROASPER-0.5-ha'!T91</f>
        <v>18067.900600000008</v>
      </c>
      <c r="E12" s="20">
        <f t="shared" si="0"/>
        <v>1264753.0420000006</v>
      </c>
    </row>
    <row r="13" spans="1:5" ht="55.5" customHeight="1" thickBot="1" x14ac:dyDescent="0.3">
      <c r="A13" s="21" t="s">
        <v>455</v>
      </c>
      <c r="B13" s="95" t="s">
        <v>461</v>
      </c>
      <c r="C13" s="21">
        <f>80</f>
        <v>80</v>
      </c>
      <c r="D13" s="20">
        <f>'4-GOTEJ-1-ha'!T132</f>
        <v>30979.623600000006</v>
      </c>
      <c r="E13" s="20">
        <f t="shared" si="0"/>
        <v>2478369.8880000003</v>
      </c>
    </row>
    <row r="14" spans="1:5" ht="55.5" customHeight="1" thickBot="1" x14ac:dyDescent="0.3">
      <c r="A14" s="21" t="s">
        <v>456</v>
      </c>
      <c r="B14" s="95" t="s">
        <v>462</v>
      </c>
      <c r="C14" s="21">
        <f>70</f>
        <v>70</v>
      </c>
      <c r="D14" s="79">
        <f>'5-GOTEJ-0.5-ha'!T88</f>
        <v>17992.833000000006</v>
      </c>
      <c r="E14" s="20">
        <f t="shared" si="0"/>
        <v>1259498.3100000005</v>
      </c>
    </row>
    <row r="15" spans="1:5" ht="55.5" customHeight="1" thickBot="1" x14ac:dyDescent="0.3">
      <c r="A15" s="21" t="s">
        <v>457</v>
      </c>
      <c r="B15" s="18" t="s">
        <v>463</v>
      </c>
      <c r="C15" s="21">
        <f>150</f>
        <v>150</v>
      </c>
      <c r="D15" s="79">
        <f>'6-MINI_KIT-600-m²'!T60</f>
        <v>4294.8949999999986</v>
      </c>
      <c r="E15" s="20">
        <f>C15*D15</f>
        <v>644234.24999999977</v>
      </c>
    </row>
    <row r="16" spans="1:5" s="78" customFormat="1" ht="27.95" customHeight="1" thickBot="1" x14ac:dyDescent="0.3">
      <c r="A16" s="114" t="s">
        <v>212</v>
      </c>
      <c r="B16" s="115"/>
      <c r="C16" s="115"/>
      <c r="D16" s="116"/>
      <c r="E16" s="80">
        <f>SUM(E10:E15)</f>
        <v>9164947.5101600029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2024-09-16T23:48:01Z</cp:lastPrinted>
  <dcterms:created xsi:type="dcterms:W3CDTF">2023-08-07T14:34:22Z</dcterms:created>
  <dcterms:modified xsi:type="dcterms:W3CDTF">2024-11-22T12:48:50Z</dcterms:modified>
</cp:coreProperties>
</file>