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drive\PR.SL\LICITACAO\PASTA PUBLICA LICITAÇÃO\Editais Publicados 2024\Edital 90086-2024-Sistemas de Irrigação-AI\Processo.59500.001494.2027-37-e-Sistemas de Irrigação\DIVULGAÇÃO\"/>
    </mc:Choice>
  </mc:AlternateContent>
  <xr:revisionPtr revIDLastSave="0" documentId="8_{5976ED77-205A-4557-B29D-840E336C49AF}" xr6:coauthVersionLast="47" xr6:coauthVersionMax="47" xr10:uidLastSave="{00000000-0000-0000-0000-000000000000}"/>
  <bookViews>
    <workbookView xWindow="28680" yWindow="-120" windowWidth="29040" windowHeight="15720" tabRatio="598" activeTab="3" xr2:uid="{00000000-000D-0000-FFFF-FFFF00000000}"/>
  </bookViews>
  <sheets>
    <sheet name="1-ASPER-1-ha" sheetId="4" r:id="rId1"/>
    <sheet name="2-MICROASPER-0.5-ha" sheetId="15" r:id="rId2"/>
    <sheet name="3-HORTA-500-m²" sheetId="16" r:id="rId3"/>
    <sheet name="4-TOTALIZADOR" sheetId="6" r:id="rId4"/>
  </sheets>
  <definedNames>
    <definedName name="_xlnm.Print_Area" localSheetId="0">'1-ASPER-1-ha'!$A$1:$T$73</definedName>
    <definedName name="_xlnm.Print_Area" localSheetId="1">'2-MICROASPER-0.5-ha'!$A$1:$T$78</definedName>
    <definedName name="_xlnm.Print_Area" localSheetId="2">'3-HORTA-500-m²'!$A$1:$T$80</definedName>
    <definedName name="_xlnm.Print_Area" localSheetId="3">'4-TOTALIZADOR'!$A$1:$E$12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6" l="1"/>
  <c r="C10" i="6"/>
  <c r="C9" i="6"/>
  <c r="I57" i="16"/>
  <c r="I49" i="16"/>
  <c r="I42" i="16"/>
  <c r="I13" i="16"/>
  <c r="I57" i="15"/>
  <c r="I52" i="15"/>
  <c r="I50" i="15"/>
  <c r="I51" i="4" l="1"/>
  <c r="H13" i="4" l="1"/>
  <c r="F72" i="16" l="1"/>
  <c r="F69" i="16"/>
  <c r="F55" i="16"/>
  <c r="F54" i="16"/>
  <c r="F53" i="16"/>
  <c r="F30" i="16" l="1"/>
  <c r="F29" i="16"/>
  <c r="F28" i="16"/>
  <c r="F23" i="16"/>
  <c r="F16" i="16"/>
  <c r="F15" i="16"/>
  <c r="H73" i="15" l="1"/>
  <c r="F72" i="15"/>
  <c r="F69" i="15"/>
  <c r="F67" i="15"/>
  <c r="F66" i="15"/>
  <c r="F64" i="15"/>
  <c r="F63" i="15"/>
  <c r="F62" i="15"/>
  <c r="F46" i="15"/>
  <c r="H45" i="15"/>
  <c r="F44" i="15"/>
  <c r="H43" i="15"/>
  <c r="H42" i="15"/>
  <c r="H40" i="15"/>
  <c r="H39" i="15"/>
  <c r="F34" i="15"/>
  <c r="F32" i="15"/>
  <c r="F30" i="15"/>
  <c r="F29" i="15"/>
  <c r="F28" i="15"/>
  <c r="H27" i="15"/>
  <c r="H26" i="15"/>
  <c r="F24" i="15"/>
  <c r="F23" i="15"/>
  <c r="H18" i="15"/>
  <c r="F17" i="15"/>
  <c r="H16" i="15"/>
  <c r="H13" i="15"/>
  <c r="F68" i="4"/>
  <c r="F67" i="4"/>
  <c r="F64" i="4"/>
  <c r="F62" i="4"/>
  <c r="F61" i="4"/>
  <c r="F59" i="4"/>
  <c r="F58" i="4"/>
  <c r="F57" i="4"/>
  <c r="F54" i="4"/>
  <c r="F53" i="4"/>
  <c r="F52" i="4"/>
  <c r="F49" i="4"/>
  <c r="F48" i="4"/>
  <c r="F45" i="4"/>
  <c r="H44" i="4"/>
  <c r="F43" i="4"/>
  <c r="H42" i="4"/>
  <c r="H41" i="4"/>
  <c r="H39" i="4"/>
  <c r="H38" i="4"/>
  <c r="H34" i="4"/>
  <c r="F33" i="4"/>
  <c r="F31" i="4"/>
  <c r="F30" i="4"/>
  <c r="F29" i="4"/>
  <c r="H28" i="4"/>
  <c r="H27" i="4"/>
  <c r="F25" i="4"/>
  <c r="F24" i="4"/>
  <c r="F23" i="4"/>
  <c r="F22" i="4"/>
  <c r="H19" i="4"/>
  <c r="F17" i="4"/>
  <c r="H18" i="4"/>
  <c r="H16" i="4" l="1"/>
  <c r="F14" i="4"/>
  <c r="S64" i="16" l="1"/>
  <c r="O64" i="16"/>
  <c r="N64" i="16"/>
  <c r="S63" i="16"/>
  <c r="O63" i="16"/>
  <c r="N63" i="16"/>
  <c r="S62" i="16"/>
  <c r="O62" i="16"/>
  <c r="N62" i="16"/>
  <c r="S61" i="16"/>
  <c r="O61" i="16"/>
  <c r="N61" i="16"/>
  <c r="S60" i="16"/>
  <c r="O60" i="16"/>
  <c r="N60" i="16"/>
  <c r="S59" i="16"/>
  <c r="O59" i="16"/>
  <c r="N59" i="16"/>
  <c r="S58" i="16"/>
  <c r="O58" i="16"/>
  <c r="N58" i="16"/>
  <c r="S57" i="16"/>
  <c r="O57" i="16"/>
  <c r="N57" i="16"/>
  <c r="Q63" i="16" l="1"/>
  <c r="P57" i="16"/>
  <c r="P58" i="16"/>
  <c r="Q64" i="16"/>
  <c r="P59" i="16"/>
  <c r="Q62" i="16"/>
  <c r="Q61" i="16"/>
  <c r="Q60" i="16"/>
  <c r="Q58" i="16"/>
  <c r="P63" i="16"/>
  <c r="R63" i="16" s="1"/>
  <c r="T63" i="16" s="1"/>
  <c r="Q57" i="16"/>
  <c r="P61" i="16"/>
  <c r="P64" i="16"/>
  <c r="R64" i="16" s="1"/>
  <c r="T64" i="16" s="1"/>
  <c r="Q59" i="16"/>
  <c r="P62" i="16"/>
  <c r="R62" i="16" s="1"/>
  <c r="T62" i="16" s="1"/>
  <c r="P60" i="16"/>
  <c r="R60" i="16" s="1"/>
  <c r="T60" i="16" s="1"/>
  <c r="S75" i="16"/>
  <c r="O75" i="16"/>
  <c r="N75" i="16"/>
  <c r="S74" i="16"/>
  <c r="O74" i="16"/>
  <c r="N74" i="16"/>
  <c r="S73" i="16"/>
  <c r="O73" i="16"/>
  <c r="N73" i="16"/>
  <c r="S72" i="16"/>
  <c r="O72" i="16"/>
  <c r="N72" i="16"/>
  <c r="S69" i="16"/>
  <c r="O69" i="16"/>
  <c r="N69" i="16"/>
  <c r="S68" i="16"/>
  <c r="O68" i="16"/>
  <c r="N68" i="16"/>
  <c r="S67" i="16"/>
  <c r="O67" i="16"/>
  <c r="N67" i="16"/>
  <c r="S66" i="16"/>
  <c r="O66" i="16"/>
  <c r="N66" i="16"/>
  <c r="S55" i="16"/>
  <c r="O55" i="16"/>
  <c r="N55" i="16"/>
  <c r="S54" i="16"/>
  <c r="O54" i="16"/>
  <c r="N54" i="16"/>
  <c r="S53" i="16"/>
  <c r="O53" i="16"/>
  <c r="N53" i="16"/>
  <c r="S51" i="16"/>
  <c r="O51" i="16"/>
  <c r="N51" i="16"/>
  <c r="S50" i="16"/>
  <c r="O50" i="16"/>
  <c r="N50" i="16"/>
  <c r="S49" i="16"/>
  <c r="O49" i="16"/>
  <c r="N49" i="16"/>
  <c r="S47" i="16"/>
  <c r="O47" i="16"/>
  <c r="N47" i="16"/>
  <c r="S46" i="16"/>
  <c r="O46" i="16"/>
  <c r="N46" i="16"/>
  <c r="S45" i="16"/>
  <c r="O45" i="16"/>
  <c r="N45" i="16"/>
  <c r="S44" i="16"/>
  <c r="O44" i="16"/>
  <c r="N44" i="16"/>
  <c r="S43" i="16"/>
  <c r="O43" i="16"/>
  <c r="N43" i="16"/>
  <c r="S42" i="16"/>
  <c r="O42" i="16"/>
  <c r="N42" i="16"/>
  <c r="S40" i="16"/>
  <c r="O40" i="16"/>
  <c r="N40" i="16"/>
  <c r="S39" i="16"/>
  <c r="O39" i="16"/>
  <c r="N39" i="16"/>
  <c r="S37" i="16"/>
  <c r="O37" i="16"/>
  <c r="N37" i="16"/>
  <c r="S36" i="16"/>
  <c r="O36" i="16"/>
  <c r="N36" i="16"/>
  <c r="S35" i="16"/>
  <c r="O35" i="16"/>
  <c r="N35" i="16"/>
  <c r="S34" i="16"/>
  <c r="O34" i="16"/>
  <c r="N34" i="16"/>
  <c r="S33" i="16"/>
  <c r="O33" i="16"/>
  <c r="N33" i="16"/>
  <c r="S32" i="16"/>
  <c r="O32" i="16"/>
  <c r="N32" i="16"/>
  <c r="S31" i="16"/>
  <c r="O31" i="16"/>
  <c r="N31" i="16"/>
  <c r="S30" i="16"/>
  <c r="O30" i="16"/>
  <c r="N30" i="16"/>
  <c r="S29" i="16"/>
  <c r="O29" i="16"/>
  <c r="N29" i="16"/>
  <c r="S28" i="16"/>
  <c r="O28" i="16"/>
  <c r="N28" i="16"/>
  <c r="S27" i="16"/>
  <c r="O27" i="16"/>
  <c r="N27" i="16"/>
  <c r="S26" i="16"/>
  <c r="O26" i="16"/>
  <c r="N26" i="16"/>
  <c r="S25" i="16"/>
  <c r="O25" i="16"/>
  <c r="N25" i="16"/>
  <c r="S24" i="16"/>
  <c r="O24" i="16"/>
  <c r="N24" i="16"/>
  <c r="S23" i="16"/>
  <c r="O23" i="16"/>
  <c r="N23" i="16"/>
  <c r="S22" i="16"/>
  <c r="O22" i="16"/>
  <c r="N22" i="16"/>
  <c r="S21" i="16"/>
  <c r="O21" i="16"/>
  <c r="N21" i="16"/>
  <c r="S20" i="16"/>
  <c r="O20" i="16"/>
  <c r="N20" i="16"/>
  <c r="S18" i="16"/>
  <c r="O18" i="16"/>
  <c r="N18" i="16"/>
  <c r="S17" i="16"/>
  <c r="O17" i="16"/>
  <c r="N17" i="16"/>
  <c r="S16" i="16"/>
  <c r="O16" i="16"/>
  <c r="N16" i="16"/>
  <c r="S15" i="16"/>
  <c r="O15" i="16"/>
  <c r="N15" i="16"/>
  <c r="S14" i="16"/>
  <c r="O14" i="16"/>
  <c r="N14" i="16"/>
  <c r="S13" i="16"/>
  <c r="O13" i="16"/>
  <c r="N13" i="16"/>
  <c r="P68" i="16" l="1"/>
  <c r="Q46" i="16"/>
  <c r="R57" i="16"/>
  <c r="T57" i="16" s="1"/>
  <c r="Q45" i="16"/>
  <c r="Q35" i="16"/>
  <c r="P20" i="16"/>
  <c r="Q18" i="16"/>
  <c r="Q16" i="16"/>
  <c r="Q33" i="16"/>
  <c r="R58" i="16"/>
  <c r="T58" i="16" s="1"/>
  <c r="Q36" i="16"/>
  <c r="Q23" i="16"/>
  <c r="Q31" i="16"/>
  <c r="Q50" i="16"/>
  <c r="R59" i="16"/>
  <c r="T59" i="16" s="1"/>
  <c r="P72" i="16"/>
  <c r="R61" i="16"/>
  <c r="T61" i="16" s="1"/>
  <c r="Q21" i="16"/>
  <c r="Q29" i="16"/>
  <c r="Q47" i="16"/>
  <c r="Q69" i="16"/>
  <c r="Q15" i="16"/>
  <c r="Q24" i="16"/>
  <c r="P25" i="16"/>
  <c r="Q26" i="16"/>
  <c r="Q44" i="16"/>
  <c r="P42" i="16"/>
  <c r="P13" i="16"/>
  <c r="P30" i="16"/>
  <c r="P39" i="16"/>
  <c r="P49" i="16"/>
  <c r="Q55" i="16"/>
  <c r="Q75" i="16"/>
  <c r="Q43" i="16"/>
  <c r="Q13" i="16"/>
  <c r="Q72" i="16"/>
  <c r="R72" i="16" s="1"/>
  <c r="T72" i="16" s="1"/>
  <c r="P24" i="16"/>
  <c r="Q40" i="16"/>
  <c r="Q53" i="16"/>
  <c r="Q68" i="16"/>
  <c r="R68" i="16" s="1"/>
  <c r="T68" i="16" s="1"/>
  <c r="P16" i="16"/>
  <c r="R16" i="16" s="1"/>
  <c r="T16" i="16" s="1"/>
  <c r="Q22" i="16"/>
  <c r="P34" i="16"/>
  <c r="P14" i="16"/>
  <c r="Q25" i="16"/>
  <c r="P32" i="16"/>
  <c r="P37" i="16"/>
  <c r="Q42" i="16"/>
  <c r="Q54" i="16"/>
  <c r="Q73" i="16"/>
  <c r="P15" i="16"/>
  <c r="Q30" i="16"/>
  <c r="P74" i="16"/>
  <c r="P21" i="16"/>
  <c r="P17" i="16"/>
  <c r="P67" i="16"/>
  <c r="Q28" i="16"/>
  <c r="Q32" i="16"/>
  <c r="P47" i="16"/>
  <c r="Q20" i="16"/>
  <c r="R20" i="16" s="1"/>
  <c r="T20" i="16" s="1"/>
  <c r="P26" i="16"/>
  <c r="Q34" i="16"/>
  <c r="Q37" i="16"/>
  <c r="P43" i="16"/>
  <c r="Q51" i="16"/>
  <c r="Q66" i="16"/>
  <c r="Q17" i="16"/>
  <c r="P31" i="16"/>
  <c r="R31" i="16" s="1"/>
  <c r="T31" i="16" s="1"/>
  <c r="Q74" i="16"/>
  <c r="Q14" i="16"/>
  <c r="P23" i="16"/>
  <c r="R23" i="16" s="1"/>
  <c r="T23" i="16" s="1"/>
  <c r="Q27" i="16"/>
  <c r="P29" i="16"/>
  <c r="P33" i="16"/>
  <c r="Q49" i="16"/>
  <c r="Q67" i="16"/>
  <c r="R67" i="16" s="1"/>
  <c r="T67" i="16" s="1"/>
  <c r="P73" i="16"/>
  <c r="P22" i="16"/>
  <c r="P28" i="16"/>
  <c r="R28" i="16" s="1"/>
  <c r="T28" i="16" s="1"/>
  <c r="Q39" i="16"/>
  <c r="P53" i="16"/>
  <c r="P36" i="16"/>
  <c r="R36" i="16" s="1"/>
  <c r="T36" i="16" s="1"/>
  <c r="P46" i="16"/>
  <c r="R46" i="16" s="1"/>
  <c r="T46" i="16" s="1"/>
  <c r="P66" i="16"/>
  <c r="R66" i="16" s="1"/>
  <c r="T66" i="16" s="1"/>
  <c r="P18" i="16"/>
  <c r="P27" i="16"/>
  <c r="P35" i="16"/>
  <c r="R35" i="16" s="1"/>
  <c r="T35" i="16" s="1"/>
  <c r="P45" i="16"/>
  <c r="P51" i="16"/>
  <c r="P55" i="16"/>
  <c r="R55" i="16" s="1"/>
  <c r="T55" i="16" s="1"/>
  <c r="P75" i="16"/>
  <c r="R75" i="16" s="1"/>
  <c r="T75" i="16" s="1"/>
  <c r="P44" i="16"/>
  <c r="P50" i="16"/>
  <c r="P54" i="16"/>
  <c r="P40" i="16"/>
  <c r="P69" i="16"/>
  <c r="S37" i="15"/>
  <c r="O37" i="15"/>
  <c r="N37" i="15"/>
  <c r="Q37" i="15" s="1"/>
  <c r="S36" i="15"/>
  <c r="O36" i="15"/>
  <c r="N36" i="15"/>
  <c r="R45" i="16" l="1"/>
  <c r="T45" i="16" s="1"/>
  <c r="R33" i="16"/>
  <c r="T33" i="16" s="1"/>
  <c r="R50" i="16"/>
  <c r="T50" i="16" s="1"/>
  <c r="R18" i="16"/>
  <c r="T18" i="16" s="1"/>
  <c r="R21" i="16"/>
  <c r="T21" i="16" s="1"/>
  <c r="R22" i="16"/>
  <c r="T22" i="16" s="1"/>
  <c r="R17" i="16"/>
  <c r="T17" i="16" s="1"/>
  <c r="R47" i="16"/>
  <c r="T47" i="16" s="1"/>
  <c r="R69" i="16"/>
  <c r="T69" i="16" s="1"/>
  <c r="R39" i="16"/>
  <c r="T39" i="16" s="1"/>
  <c r="R29" i="16"/>
  <c r="T29" i="16" s="1"/>
  <c r="R44" i="16"/>
  <c r="T44" i="16" s="1"/>
  <c r="R54" i="16"/>
  <c r="T54" i="16" s="1"/>
  <c r="R24" i="16"/>
  <c r="T24" i="16" s="1"/>
  <c r="R15" i="16"/>
  <c r="T15" i="16" s="1"/>
  <c r="R13" i="16"/>
  <c r="T13" i="16" s="1"/>
  <c r="R74" i="16"/>
  <c r="T74" i="16" s="1"/>
  <c r="R40" i="16"/>
  <c r="T40" i="16" s="1"/>
  <c r="R26" i="16"/>
  <c r="T26" i="16" s="1"/>
  <c r="P37" i="15"/>
  <c r="R37" i="15" s="1"/>
  <c r="T37" i="15" s="1"/>
  <c r="P36" i="15"/>
  <c r="Q36" i="15"/>
  <c r="R27" i="16"/>
  <c r="T27" i="16" s="1"/>
  <c r="R30" i="16"/>
  <c r="T30" i="16" s="1"/>
  <c r="R25" i="16"/>
  <c r="T25" i="16" s="1"/>
  <c r="R73" i="16"/>
  <c r="T73" i="16" s="1"/>
  <c r="R32" i="16"/>
  <c r="T32" i="16" s="1"/>
  <c r="R37" i="16"/>
  <c r="T37" i="16" s="1"/>
  <c r="R53" i="16"/>
  <c r="T53" i="16" s="1"/>
  <c r="R49" i="16"/>
  <c r="T49" i="16" s="1"/>
  <c r="R34" i="16"/>
  <c r="T34" i="16" s="1"/>
  <c r="R42" i="16"/>
  <c r="T42" i="16" s="1"/>
  <c r="R43" i="16"/>
  <c r="T43" i="16" s="1"/>
  <c r="R14" i="16"/>
  <c r="T14" i="16" s="1"/>
  <c r="R51" i="16"/>
  <c r="T51" i="16" s="1"/>
  <c r="S73" i="15"/>
  <c r="O73" i="15"/>
  <c r="N73" i="15"/>
  <c r="S72" i="15"/>
  <c r="O72" i="15"/>
  <c r="N72" i="15"/>
  <c r="S69" i="15"/>
  <c r="O69" i="15"/>
  <c r="N69" i="15"/>
  <c r="S68" i="15"/>
  <c r="O68" i="15"/>
  <c r="N68" i="15"/>
  <c r="S67" i="15"/>
  <c r="O67" i="15"/>
  <c r="N67" i="15"/>
  <c r="S66" i="15"/>
  <c r="O66" i="15"/>
  <c r="N66" i="15"/>
  <c r="S64" i="15"/>
  <c r="O64" i="15"/>
  <c r="N64" i="15"/>
  <c r="S63" i="15"/>
  <c r="O63" i="15"/>
  <c r="N63" i="15"/>
  <c r="S62" i="15"/>
  <c r="O62" i="15"/>
  <c r="N62" i="15"/>
  <c r="S60" i="15"/>
  <c r="O60" i="15"/>
  <c r="N60" i="15"/>
  <c r="S55" i="15"/>
  <c r="O55" i="15"/>
  <c r="N55" i="15"/>
  <c r="S54" i="15"/>
  <c r="O54" i="15"/>
  <c r="N54" i="15"/>
  <c r="S53" i="15"/>
  <c r="O53" i="15"/>
  <c r="N53" i="15"/>
  <c r="S52" i="15"/>
  <c r="O52" i="15"/>
  <c r="N52" i="15"/>
  <c r="S50" i="15"/>
  <c r="O50" i="15"/>
  <c r="N50" i="15"/>
  <c r="S49" i="15"/>
  <c r="O49" i="15"/>
  <c r="N49" i="15"/>
  <c r="S48" i="15"/>
  <c r="O48" i="15"/>
  <c r="N48" i="15"/>
  <c r="S47" i="15"/>
  <c r="O47" i="15"/>
  <c r="N47" i="15"/>
  <c r="S46" i="15"/>
  <c r="O46" i="15"/>
  <c r="N46" i="15"/>
  <c r="S45" i="15"/>
  <c r="O45" i="15"/>
  <c r="N45" i="15"/>
  <c r="Q45" i="15" s="1"/>
  <c r="S44" i="15"/>
  <c r="O44" i="15"/>
  <c r="N44" i="15"/>
  <c r="P44" i="15" s="1"/>
  <c r="S43" i="15"/>
  <c r="O43" i="15"/>
  <c r="N43" i="15"/>
  <c r="S42" i="15"/>
  <c r="O42" i="15"/>
  <c r="N42" i="15"/>
  <c r="S40" i="15"/>
  <c r="O40" i="15"/>
  <c r="N40" i="15"/>
  <c r="S39" i="15"/>
  <c r="O39" i="15"/>
  <c r="N39" i="15"/>
  <c r="S35" i="15"/>
  <c r="O35" i="15"/>
  <c r="N35" i="15"/>
  <c r="S34" i="15"/>
  <c r="O34" i="15"/>
  <c r="N34" i="15"/>
  <c r="S33" i="15"/>
  <c r="O33" i="15"/>
  <c r="N33" i="15"/>
  <c r="S32" i="15"/>
  <c r="O32" i="15"/>
  <c r="N32" i="15"/>
  <c r="P32" i="15" s="1"/>
  <c r="S31" i="15"/>
  <c r="O31" i="15"/>
  <c r="N31" i="15"/>
  <c r="S30" i="15"/>
  <c r="O30" i="15"/>
  <c r="N30" i="15"/>
  <c r="S29" i="15"/>
  <c r="O29" i="15"/>
  <c r="N29" i="15"/>
  <c r="S28" i="15"/>
  <c r="O28" i="15"/>
  <c r="N28" i="15"/>
  <c r="S27" i="15"/>
  <c r="O27" i="15"/>
  <c r="N27" i="15"/>
  <c r="S26" i="15"/>
  <c r="O26" i="15"/>
  <c r="N26" i="15"/>
  <c r="S25" i="15"/>
  <c r="O25" i="15"/>
  <c r="N25" i="15"/>
  <c r="S24" i="15"/>
  <c r="O24" i="15"/>
  <c r="N24" i="15"/>
  <c r="S23" i="15"/>
  <c r="O23" i="15"/>
  <c r="N23" i="15"/>
  <c r="S22" i="15"/>
  <c r="O22" i="15"/>
  <c r="N22" i="15"/>
  <c r="S21" i="15"/>
  <c r="O21" i="15"/>
  <c r="N21" i="15"/>
  <c r="S20" i="15"/>
  <c r="O20" i="15"/>
  <c r="N20" i="15"/>
  <c r="S18" i="15"/>
  <c r="O18" i="15"/>
  <c r="P18" i="15" s="1"/>
  <c r="N18" i="15"/>
  <c r="S17" i="15"/>
  <c r="O17" i="15"/>
  <c r="N17" i="15"/>
  <c r="S16" i="15"/>
  <c r="O16" i="15"/>
  <c r="N16" i="15"/>
  <c r="S15" i="15"/>
  <c r="O15" i="15"/>
  <c r="N15" i="15"/>
  <c r="S14" i="15"/>
  <c r="O14" i="15"/>
  <c r="N14" i="15"/>
  <c r="S13" i="15"/>
  <c r="O13" i="15"/>
  <c r="N13" i="15"/>
  <c r="Q13" i="15" s="1"/>
  <c r="Q17" i="15" l="1"/>
  <c r="T76" i="16"/>
  <c r="Q60" i="15"/>
  <c r="P54" i="15"/>
  <c r="P23" i="15"/>
  <c r="P31" i="15"/>
  <c r="P66" i="15"/>
  <c r="P24" i="15"/>
  <c r="Q27" i="15"/>
  <c r="Q63" i="15"/>
  <c r="P22" i="15"/>
  <c r="P28" i="15"/>
  <c r="Q64" i="15"/>
  <c r="Q26" i="15"/>
  <c r="P34" i="15"/>
  <c r="P62" i="15"/>
  <c r="Q24" i="15"/>
  <c r="Q29" i="15"/>
  <c r="Q40" i="15"/>
  <c r="P46" i="15"/>
  <c r="P55" i="15"/>
  <c r="P68" i="15"/>
  <c r="P16" i="15"/>
  <c r="Q30" i="15"/>
  <c r="P47" i="15"/>
  <c r="P60" i="15"/>
  <c r="R60" i="15" s="1"/>
  <c r="T60" i="15" s="1"/>
  <c r="Q66" i="15"/>
  <c r="Q69" i="15"/>
  <c r="P14" i="15"/>
  <c r="Q25" i="15"/>
  <c r="Q33" i="15"/>
  <c r="P63" i="15"/>
  <c r="R63" i="15" s="1"/>
  <c r="T63" i="15" s="1"/>
  <c r="Q67" i="15"/>
  <c r="R66" i="15"/>
  <c r="T66" i="15" s="1"/>
  <c r="Q54" i="15"/>
  <c r="R54" i="15" s="1"/>
  <c r="T54" i="15" s="1"/>
  <c r="P25" i="15"/>
  <c r="Q46" i="15"/>
  <c r="R46" i="15" s="1"/>
  <c r="T46" i="15" s="1"/>
  <c r="P64" i="15"/>
  <c r="R64" i="15" s="1"/>
  <c r="T64" i="15" s="1"/>
  <c r="Q15" i="15"/>
  <c r="Q35" i="15"/>
  <c r="Q53" i="15"/>
  <c r="Q72" i="15"/>
  <c r="Q34" i="15"/>
  <c r="R26" i="15"/>
  <c r="T26" i="15" s="1"/>
  <c r="Q18" i="15"/>
  <c r="R18" i="15" s="1"/>
  <c r="T18" i="15" s="1"/>
  <c r="P26" i="15"/>
  <c r="P39" i="15"/>
  <c r="Q73" i="15"/>
  <c r="R36" i="15"/>
  <c r="T36" i="15" s="1"/>
  <c r="P17" i="15"/>
  <c r="Q55" i="15"/>
  <c r="R55" i="15" s="1"/>
  <c r="T55" i="15" s="1"/>
  <c r="Q16" i="15"/>
  <c r="R16" i="15" s="1"/>
  <c r="T16" i="15" s="1"/>
  <c r="P27" i="15"/>
  <c r="Q32" i="15"/>
  <c r="R32" i="15" s="1"/>
  <c r="T32" i="15" s="1"/>
  <c r="P42" i="15"/>
  <c r="P48" i="15"/>
  <c r="P67" i="15"/>
  <c r="Q21" i="15"/>
  <c r="Q52" i="15"/>
  <c r="R24" i="15"/>
  <c r="T24" i="15" s="1"/>
  <c r="R27" i="15"/>
  <c r="T27" i="15" s="1"/>
  <c r="P43" i="15"/>
  <c r="P45" i="15"/>
  <c r="Q49" i="15"/>
  <c r="P20" i="15"/>
  <c r="P35" i="15"/>
  <c r="Q44" i="15"/>
  <c r="R44" i="15" s="1"/>
  <c r="T44" i="15" s="1"/>
  <c r="Q47" i="15"/>
  <c r="Q50" i="15"/>
  <c r="P53" i="15"/>
  <c r="P73" i="15"/>
  <c r="P33" i="15"/>
  <c r="R17" i="15"/>
  <c r="T17" i="15" s="1"/>
  <c r="R45" i="15"/>
  <c r="T45" i="15" s="1"/>
  <c r="P30" i="15"/>
  <c r="Q62" i="15"/>
  <c r="Q14" i="15"/>
  <c r="Q22" i="15"/>
  <c r="R22" i="15" s="1"/>
  <c r="T22" i="15" s="1"/>
  <c r="Q42" i="15"/>
  <c r="Q20" i="15"/>
  <c r="Q28" i="15"/>
  <c r="R28" i="15" s="1"/>
  <c r="T28" i="15" s="1"/>
  <c r="Q39" i="15"/>
  <c r="Q48" i="15"/>
  <c r="Q68" i="15"/>
  <c r="R68" i="15" s="1"/>
  <c r="T68" i="15" s="1"/>
  <c r="P15" i="15"/>
  <c r="P52" i="15"/>
  <c r="Q23" i="15"/>
  <c r="R23" i="15" s="1"/>
  <c r="T23" i="15" s="1"/>
  <c r="Q31" i="15"/>
  <c r="R31" i="15" s="1"/>
  <c r="T31" i="15" s="1"/>
  <c r="Q43" i="15"/>
  <c r="P50" i="15"/>
  <c r="P72" i="15"/>
  <c r="P13" i="15"/>
  <c r="R13" i="15" s="1"/>
  <c r="T13" i="15" s="1"/>
  <c r="P21" i="15"/>
  <c r="P29" i="15"/>
  <c r="P40" i="15"/>
  <c r="P49" i="15"/>
  <c r="R49" i="15" s="1"/>
  <c r="T49" i="15" s="1"/>
  <c r="P69" i="15"/>
  <c r="R69" i="15" s="1"/>
  <c r="T69" i="15" s="1"/>
  <c r="S62" i="4"/>
  <c r="D11" i="6" l="1"/>
  <c r="E11" i="6" s="1"/>
  <c r="R15" i="15"/>
  <c r="T15" i="15" s="1"/>
  <c r="R35" i="15"/>
  <c r="T35" i="15" s="1"/>
  <c r="R20" i="15"/>
  <c r="T20" i="15" s="1"/>
  <c r="R21" i="15"/>
  <c r="T21" i="15" s="1"/>
  <c r="R25" i="15"/>
  <c r="T25" i="15" s="1"/>
  <c r="R14" i="15"/>
  <c r="T14" i="15" s="1"/>
  <c r="R53" i="15"/>
  <c r="T53" i="15" s="1"/>
  <c r="R47" i="15"/>
  <c r="T47" i="15" s="1"/>
  <c r="R62" i="15"/>
  <c r="T62" i="15" s="1"/>
  <c r="R33" i="15"/>
  <c r="T33" i="15" s="1"/>
  <c r="R34" i="15"/>
  <c r="T34" i="15" s="1"/>
  <c r="R50" i="15"/>
  <c r="T50" i="15" s="1"/>
  <c r="R30" i="15"/>
  <c r="T30" i="15" s="1"/>
  <c r="R67" i="15"/>
  <c r="T67" i="15" s="1"/>
  <c r="R39" i="15"/>
  <c r="T39" i="15" s="1"/>
  <c r="R40" i="15"/>
  <c r="T40" i="15" s="1"/>
  <c r="R29" i="15"/>
  <c r="T29" i="15" s="1"/>
  <c r="R52" i="15"/>
  <c r="T52" i="15" s="1"/>
  <c r="R43" i="15"/>
  <c r="T43" i="15" s="1"/>
  <c r="R42" i="15"/>
  <c r="T42" i="15" s="1"/>
  <c r="R73" i="15"/>
  <c r="T73" i="15" s="1"/>
  <c r="R72" i="15"/>
  <c r="T72" i="15" s="1"/>
  <c r="R48" i="15"/>
  <c r="T48" i="15" s="1"/>
  <c r="S63" i="4"/>
  <c r="O64" i="4"/>
  <c r="O62" i="4"/>
  <c r="O63" i="4"/>
  <c r="N63" i="4"/>
  <c r="S64" i="4"/>
  <c r="N62" i="4"/>
  <c r="N64" i="4"/>
  <c r="S61" i="4"/>
  <c r="T74" i="15" l="1"/>
  <c r="D10" i="6" s="1"/>
  <c r="E10" i="6" s="1"/>
  <c r="O61" i="4"/>
  <c r="P62" i="4"/>
  <c r="Q62" i="4"/>
  <c r="R62" i="4" s="1"/>
  <c r="T62" i="4" s="1"/>
  <c r="Q63" i="4"/>
  <c r="R63" i="4" s="1"/>
  <c r="T63" i="4" s="1"/>
  <c r="P63" i="4"/>
  <c r="P64" i="4"/>
  <c r="Q64" i="4"/>
  <c r="R64" i="4" s="1"/>
  <c r="T64" i="4" s="1"/>
  <c r="N61" i="4"/>
  <c r="S16" i="4"/>
  <c r="S15" i="4"/>
  <c r="Q61" i="4" l="1"/>
  <c r="P61" i="4"/>
  <c r="R61" i="4" l="1"/>
  <c r="T61" i="4" s="1"/>
  <c r="S59" i="4" l="1"/>
  <c r="S58" i="4"/>
  <c r="S54" i="4"/>
  <c r="S51" i="4"/>
  <c r="S48" i="4"/>
  <c r="S45" i="4"/>
  <c r="S35" i="4"/>
  <c r="S32" i="4"/>
  <c r="S31" i="4"/>
  <c r="S30" i="4"/>
  <c r="S29" i="4"/>
  <c r="S28" i="4"/>
  <c r="S27" i="4"/>
  <c r="S26" i="4"/>
  <c r="S24" i="4"/>
  <c r="S23" i="4"/>
  <c r="S22" i="4"/>
  <c r="S21" i="4"/>
  <c r="S13" i="4" l="1"/>
  <c r="O13" i="4" l="1"/>
  <c r="N13" i="4"/>
  <c r="N58" i="4"/>
  <c r="O58" i="4"/>
  <c r="Q58" i="4" l="1"/>
  <c r="P58" i="4"/>
  <c r="Q13" i="4"/>
  <c r="P13" i="4"/>
  <c r="R58" i="4" l="1"/>
  <c r="T58" i="4" s="1"/>
  <c r="R13" i="4"/>
  <c r="T13" i="4" s="1"/>
  <c r="S68" i="4"/>
  <c r="S67" i="4"/>
  <c r="O68" i="4" l="1"/>
  <c r="N68" i="4"/>
  <c r="O67" i="4"/>
  <c r="N67" i="4"/>
  <c r="Q67" i="4" l="1"/>
  <c r="P67" i="4"/>
  <c r="P68" i="4"/>
  <c r="Q68" i="4"/>
  <c r="R67" i="4" l="1"/>
  <c r="T67" i="4" s="1"/>
  <c r="R68" i="4"/>
  <c r="T68" i="4" s="1"/>
  <c r="O59" i="4" l="1"/>
  <c r="N59" i="4"/>
  <c r="S57" i="4"/>
  <c r="S55" i="4"/>
  <c r="S53" i="4"/>
  <c r="S52" i="4"/>
  <c r="S49" i="4"/>
  <c r="S47" i="4"/>
  <c r="S46" i="4"/>
  <c r="S44" i="4"/>
  <c r="O53" i="4" l="1"/>
  <c r="N53" i="4"/>
  <c r="O57" i="4"/>
  <c r="N57" i="4"/>
  <c r="O45" i="4"/>
  <c r="N45" i="4"/>
  <c r="N54" i="4"/>
  <c r="O54" i="4"/>
  <c r="O55" i="4"/>
  <c r="N55" i="4"/>
  <c r="N46" i="4"/>
  <c r="O46" i="4"/>
  <c r="O48" i="4"/>
  <c r="N48" i="4"/>
  <c r="P59" i="4"/>
  <c r="Q59" i="4"/>
  <c r="R59" i="4" s="1"/>
  <c r="T59" i="4" s="1"/>
  <c r="O47" i="4"/>
  <c r="N47" i="4"/>
  <c r="O49" i="4"/>
  <c r="N49" i="4"/>
  <c r="O51" i="4"/>
  <c r="N51" i="4"/>
  <c r="O44" i="4"/>
  <c r="N44" i="4"/>
  <c r="O52" i="4"/>
  <c r="N52" i="4"/>
  <c r="S43" i="4"/>
  <c r="S42" i="4"/>
  <c r="S41" i="4"/>
  <c r="S39" i="4"/>
  <c r="S38" i="4"/>
  <c r="S36" i="4"/>
  <c r="S34" i="4"/>
  <c r="S33" i="4"/>
  <c r="S25" i="4"/>
  <c r="S19" i="4"/>
  <c r="S18" i="4"/>
  <c r="S17" i="4"/>
  <c r="S14" i="4"/>
  <c r="N29" i="4" l="1"/>
  <c r="O29" i="4"/>
  <c r="Q52" i="4"/>
  <c r="P52" i="4"/>
  <c r="Q49" i="4"/>
  <c r="P49" i="4"/>
  <c r="Q45" i="4"/>
  <c r="P45" i="4"/>
  <c r="Q46" i="4"/>
  <c r="P46" i="4"/>
  <c r="Q44" i="4"/>
  <c r="P44" i="4"/>
  <c r="P57" i="4"/>
  <c r="Q57" i="4"/>
  <c r="O15" i="4"/>
  <c r="N15" i="4"/>
  <c r="N38" i="4"/>
  <c r="O38" i="4"/>
  <c r="O32" i="4"/>
  <c r="N32" i="4"/>
  <c r="N42" i="4"/>
  <c r="O42" i="4"/>
  <c r="P47" i="4"/>
  <c r="Q47" i="4"/>
  <c r="P55" i="4"/>
  <c r="Q55" i="4"/>
  <c r="Q53" i="4"/>
  <c r="P53" i="4"/>
  <c r="O31" i="4"/>
  <c r="N31" i="4"/>
  <c r="O24" i="4"/>
  <c r="N24" i="4"/>
  <c r="N25" i="4"/>
  <c r="O25" i="4"/>
  <c r="N34" i="4"/>
  <c r="O34" i="4"/>
  <c r="N21" i="4"/>
  <c r="O21" i="4"/>
  <c r="O39" i="4"/>
  <c r="N39" i="4"/>
  <c r="O14" i="4"/>
  <c r="N14" i="4"/>
  <c r="N33" i="4"/>
  <c r="O33" i="4"/>
  <c r="O17" i="4"/>
  <c r="N17" i="4"/>
  <c r="O43" i="4"/>
  <c r="N43" i="4"/>
  <c r="O18" i="4"/>
  <c r="N18" i="4"/>
  <c r="Q48" i="4"/>
  <c r="P48" i="4"/>
  <c r="O22" i="4"/>
  <c r="N22" i="4"/>
  <c r="O30" i="4"/>
  <c r="N30" i="4"/>
  <c r="O23" i="4"/>
  <c r="N23" i="4"/>
  <c r="O41" i="4"/>
  <c r="N41" i="4"/>
  <c r="O16" i="4"/>
  <c r="N16" i="4"/>
  <c r="P51" i="4"/>
  <c r="Q51" i="4"/>
  <c r="R51" i="4" s="1"/>
  <c r="T51" i="4" s="1"/>
  <c r="O26" i="4"/>
  <c r="N26" i="4"/>
  <c r="O27" i="4"/>
  <c r="N27" i="4"/>
  <c r="O35" i="4"/>
  <c r="N35" i="4"/>
  <c r="O19" i="4"/>
  <c r="N19" i="4"/>
  <c r="O28" i="4"/>
  <c r="N28" i="4"/>
  <c r="O36" i="4"/>
  <c r="N36" i="4"/>
  <c r="P54" i="4"/>
  <c r="Q54" i="4"/>
  <c r="R54" i="4" s="1"/>
  <c r="T54" i="4" s="1"/>
  <c r="R45" i="4" l="1"/>
  <c r="T45" i="4" s="1"/>
  <c r="R48" i="4"/>
  <c r="T48" i="4" s="1"/>
  <c r="R44" i="4"/>
  <c r="T44" i="4" s="1"/>
  <c r="R49" i="4"/>
  <c r="T49" i="4" s="1"/>
  <c r="R52" i="4"/>
  <c r="T52" i="4" s="1"/>
  <c r="P19" i="4"/>
  <c r="Q19" i="4"/>
  <c r="R19" i="4" s="1"/>
  <c r="T19" i="4" s="1"/>
  <c r="Q23" i="4"/>
  <c r="P23" i="4"/>
  <c r="Q43" i="4"/>
  <c r="P43" i="4"/>
  <c r="P39" i="4"/>
  <c r="Q39" i="4"/>
  <c r="Q24" i="4"/>
  <c r="P24" i="4"/>
  <c r="R55" i="4"/>
  <c r="T55" i="4" s="1"/>
  <c r="P32" i="4"/>
  <c r="Q32" i="4"/>
  <c r="Q15" i="4"/>
  <c r="P15" i="4"/>
  <c r="Q35" i="4"/>
  <c r="P35" i="4"/>
  <c r="Q16" i="4"/>
  <c r="R16" i="4" s="1"/>
  <c r="T16" i="4" s="1"/>
  <c r="P16" i="4"/>
  <c r="Q30" i="4"/>
  <c r="P30" i="4"/>
  <c r="Q17" i="4"/>
  <c r="P17" i="4"/>
  <c r="R57" i="4"/>
  <c r="T57" i="4" s="1"/>
  <c r="Q38" i="4"/>
  <c r="P38" i="4"/>
  <c r="Q21" i="4"/>
  <c r="P21" i="4"/>
  <c r="P36" i="4"/>
  <c r="Q36" i="4"/>
  <c r="Q27" i="4"/>
  <c r="P27" i="4"/>
  <c r="Q41" i="4"/>
  <c r="P41" i="4"/>
  <c r="P22" i="4"/>
  <c r="Q22" i="4"/>
  <c r="Q31" i="4"/>
  <c r="P31" i="4"/>
  <c r="R47" i="4"/>
  <c r="T47" i="4" s="1"/>
  <c r="Q34" i="4"/>
  <c r="P34" i="4"/>
  <c r="Q26" i="4"/>
  <c r="P26" i="4"/>
  <c r="Q18" i="4"/>
  <c r="P18" i="4"/>
  <c r="P14" i="4"/>
  <c r="Q14" i="4"/>
  <c r="Q33" i="4"/>
  <c r="P33" i="4"/>
  <c r="Q28" i="4"/>
  <c r="P28" i="4"/>
  <c r="P25" i="4"/>
  <c r="Q25" i="4"/>
  <c r="R53" i="4"/>
  <c r="T53" i="4" s="1"/>
  <c r="Q42" i="4"/>
  <c r="P42" i="4"/>
  <c r="R46" i="4"/>
  <c r="T46" i="4" s="1"/>
  <c r="Q29" i="4"/>
  <c r="P29" i="4"/>
  <c r="R32" i="4" l="1"/>
  <c r="T32" i="4" s="1"/>
  <c r="R31" i="4"/>
  <c r="T31" i="4" s="1"/>
  <c r="R22" i="4"/>
  <c r="T22" i="4" s="1"/>
  <c r="R24" i="4"/>
  <c r="T24" i="4" s="1"/>
  <c r="R27" i="4"/>
  <c r="T27" i="4" s="1"/>
  <c r="R30" i="4"/>
  <c r="T30" i="4" s="1"/>
  <c r="R23" i="4"/>
  <c r="T23" i="4" s="1"/>
  <c r="R35" i="4"/>
  <c r="T35" i="4" s="1"/>
  <c r="R25" i="4"/>
  <c r="T25" i="4" s="1"/>
  <c r="R28" i="4"/>
  <c r="T28" i="4" s="1"/>
  <c r="R29" i="4"/>
  <c r="T29" i="4" s="1"/>
  <c r="R21" i="4"/>
  <c r="T21" i="4" s="1"/>
  <c r="R26" i="4"/>
  <c r="T26" i="4" s="1"/>
  <c r="R15" i="4"/>
  <c r="T15" i="4" s="1"/>
  <c r="R17" i="4"/>
  <c r="T17" i="4" s="1"/>
  <c r="R33" i="4"/>
  <c r="T33" i="4" s="1"/>
  <c r="R43" i="4"/>
  <c r="T43" i="4" s="1"/>
  <c r="R39" i="4"/>
  <c r="T39" i="4" s="1"/>
  <c r="R42" i="4"/>
  <c r="T42" i="4" s="1"/>
  <c r="R14" i="4"/>
  <c r="T14" i="4" s="1"/>
  <c r="R34" i="4"/>
  <c r="T34" i="4" s="1"/>
  <c r="R41" i="4"/>
  <c r="T41" i="4" s="1"/>
  <c r="R38" i="4"/>
  <c r="T38" i="4" s="1"/>
  <c r="R18" i="4"/>
  <c r="T18" i="4" s="1"/>
  <c r="R36" i="4"/>
  <c r="T36" i="4" s="1"/>
  <c r="T69" i="4" l="1"/>
  <c r="D9" i="6" s="1"/>
  <c r="E9" i="6" s="1"/>
  <c r="E12" i="6" s="1"/>
</calcChain>
</file>

<file path=xl/sharedStrings.xml><?xml version="1.0" encoding="utf-8"?>
<sst xmlns="http://schemas.openxmlformats.org/spreadsheetml/2006/main" count="763" uniqueCount="308">
  <si>
    <t>ITEM</t>
  </si>
  <si>
    <t>UNID.</t>
  </si>
  <si>
    <t>MATERIAIS, EQUIPAMENTOS E SERVIÇOS</t>
  </si>
  <si>
    <t>m³</t>
  </si>
  <si>
    <t>CÓDIGO</t>
  </si>
  <si>
    <t>SINAPI</t>
  </si>
  <si>
    <t>SICRO</t>
  </si>
  <si>
    <t>DESCRIÇÃO</t>
  </si>
  <si>
    <t>PREÇO UNITÁRIO (R$)</t>
  </si>
  <si>
    <t>ORSE ou
AGESUL</t>
  </si>
  <si>
    <t>QUANT.
(A)</t>
  </si>
  <si>
    <t>MÉDIA
(H) = (C:G)</t>
  </si>
  <si>
    <t>DESVIO PADRÃO
(I) = (C:G)</t>
  </si>
  <si>
    <t>LIMITE SUPERIOR
(J) = (H+I)</t>
  </si>
  <si>
    <t>LIMITE INFERIOR
(L) = (H-I)</t>
  </si>
  <si>
    <t>Observaçôes:</t>
  </si>
  <si>
    <r>
      <t>MÉDIA SANEADA</t>
    </r>
    <r>
      <rPr>
        <b/>
        <vertAlign val="superscript"/>
        <sz val="12"/>
        <color theme="1"/>
        <rFont val="Times New Roman"/>
        <family val="1"/>
      </rPr>
      <t>2
(M)</t>
    </r>
  </si>
  <si>
    <t xml:space="preserve">                                MINISTÉRIO DA INTEGRAÇÃO E DO DESENVOLVIMENTO REGIONAL (MIDR)</t>
  </si>
  <si>
    <t xml:space="preserve">                                ÁREA DE IRRIGAÇÃO E OPERAÇÕES (AI)</t>
  </si>
  <si>
    <t xml:space="preserve">                                COMPANHIA DE DESENVOLVIMENTO DOS VALES DO SÃO FRANCISCO E DO PARNAÍBA</t>
  </si>
  <si>
    <t>PREÇOS DE MERCADO
(R$)</t>
  </si>
  <si>
    <r>
      <t>MEDIANA DOS PREÇOS DE MERCADO</t>
    </r>
    <r>
      <rPr>
        <b/>
        <vertAlign val="super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 xml:space="preserve">
(N)</t>
    </r>
  </si>
  <si>
    <r>
      <t>TOTAL (R$)</t>
    </r>
    <r>
      <rPr>
        <b/>
        <vertAlign val="superscript"/>
        <sz val="12"/>
        <color theme="1"/>
        <rFont val="Times New Roman"/>
        <family val="1"/>
      </rPr>
      <t>4</t>
    </r>
    <r>
      <rPr>
        <b/>
        <sz val="12"/>
        <color theme="1"/>
        <rFont val="Times New Roman"/>
        <family val="1"/>
      </rPr>
      <t xml:space="preserve">
(O) = (AxM)
ou
(O) = (AxN)</t>
    </r>
  </si>
  <si>
    <t>I. Fornecimento de Materiais</t>
  </si>
  <si>
    <t>1. Linha de Sucção</t>
  </si>
  <si>
    <t>1.1</t>
  </si>
  <si>
    <t>1.2</t>
  </si>
  <si>
    <t>1.3</t>
  </si>
  <si>
    <t>1.4</t>
  </si>
  <si>
    <t>1.6</t>
  </si>
  <si>
    <t>1.7</t>
  </si>
  <si>
    <t>Tubo PVC sold. Irrigação DN 50 mm PN 40</t>
  </si>
  <si>
    <t>m</t>
  </si>
  <si>
    <t>SINAPI-10232</t>
  </si>
  <si>
    <t>Válvula de pé com crivo de bronze rosca fêmea 2''</t>
  </si>
  <si>
    <t>un</t>
  </si>
  <si>
    <t>CATMAT-455010</t>
  </si>
  <si>
    <t>Adaptador PVC sold. Irrigação 50 mm x 2"</t>
  </si>
  <si>
    <t>Curva 90° PVC sold. Irrigação 50 mm</t>
  </si>
  <si>
    <t>União PVC sold. 50 mm marrom</t>
  </si>
  <si>
    <t>Adaptador PVC sold. Irrigação 50 mm x 1 1/2"</t>
  </si>
  <si>
    <t>Bucha de redução de 1.1/12" x 1"</t>
  </si>
  <si>
    <t>2. Motobamba, saída de motobomba e instalações elétricas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</si>
  <si>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</si>
  <si>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</si>
  <si>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</si>
  <si>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</si>
  <si>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</si>
  <si>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</si>
  <si>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</si>
  <si>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</si>
  <si>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</si>
  <si>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</si>
  <si>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</si>
  <si>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</si>
  <si>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</si>
  <si>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</si>
  <si>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</si>
  <si>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</si>
  <si>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3. Linha Principal</t>
  </si>
  <si>
    <t>COT-01</t>
  </si>
  <si>
    <t>Motobomba centrífuga monofásica, 220 V, Pot. = 3,0 CV; rendimento ≥ 50%; altura manométrica = 43 mca; Q = 8,11 m³/h</t>
  </si>
  <si>
    <t>COT-02</t>
  </si>
  <si>
    <t>Curva de ferro para saída de bomba 1 1/2"</t>
  </si>
  <si>
    <t>SINAPI-3871</t>
  </si>
  <si>
    <t>Luva soldável com rosca PVC 50 mm x 1 1/2" marrom</t>
  </si>
  <si>
    <t>Registro de esfera PVC sold. 50 mm</t>
  </si>
  <si>
    <t>Válvula de retenção de bronze 2”</t>
  </si>
  <si>
    <t>Tê com derivação roscável PVC sold. Irrigação 50 mm x 3/4"</t>
  </si>
  <si>
    <t>Bucha de redução PVC 3/4" x 1/2"</t>
  </si>
  <si>
    <t>Bucha de redução de ferro galvanizado 1/2" x 1/4"</t>
  </si>
  <si>
    <t>Manômetro glicerinado 0-10 bar (rosca macho 1/4")</t>
  </si>
  <si>
    <t>ORSE-13184</t>
  </si>
  <si>
    <t>Válvula ventosa de dupla função 3/4"</t>
  </si>
  <si>
    <t>Cabo de cobre flexível; isolação em PVC; antichama BWF-B; 1 condutor; 450/750 V; 2,50 mm²</t>
  </si>
  <si>
    <t>Chave de partida magnética monofásica 3,0 CV 220 V</t>
  </si>
  <si>
    <t>SINAPI-34653</t>
  </si>
  <si>
    <t>Disjuntor monopolar 20 A, 220 V</t>
  </si>
  <si>
    <t>ORSE-13397</t>
  </si>
  <si>
    <t xml:space="preserve">Caixa de sobrepor para disjuntor </t>
  </si>
  <si>
    <t>3.1</t>
  </si>
  <si>
    <t>3.2</t>
  </si>
  <si>
    <t>4. Linha de Derivação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</si>
  <si>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</si>
  <si>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</si>
  <si>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</si>
  <si>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</si>
  <si>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</si>
  <si>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</si>
  <si>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</si>
  <si>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</si>
  <si>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</si>
  <si>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 Linha Laterais</t>
  </si>
  <si>
    <t>6.1</t>
  </si>
  <si>
    <t>5.2</t>
  </si>
  <si>
    <t>5.3</t>
  </si>
  <si>
    <t>5.4</t>
  </si>
  <si>
    <t>5.5</t>
  </si>
  <si>
    <t>6. Abrigo da Motobomba</t>
  </si>
  <si>
    <t>6.2</t>
  </si>
  <si>
    <t>6.3</t>
  </si>
  <si>
    <t>7. Outros</t>
  </si>
  <si>
    <t>Curva 45° PVC sold. Irrigação 50 mm</t>
  </si>
  <si>
    <t>Tê PVC sold. Irrigação 50 mm</t>
  </si>
  <si>
    <t>Luva de redução PVC sold. 50 mm x 25 mm marrom</t>
  </si>
  <si>
    <t>SINAPI-3906</t>
  </si>
  <si>
    <t>Luva soldável com rosca  PVC sold. 25 mm x 3/4" marrom</t>
  </si>
  <si>
    <t>COT-03</t>
  </si>
  <si>
    <t>Tê com redução PVC sold. Irrigação 50 mm x 25 mm</t>
  </si>
  <si>
    <t>Tê PVC sold. 25 mm marrom</t>
  </si>
  <si>
    <t>CATMAT-347921</t>
  </si>
  <si>
    <t>Tubo PVC sold. Agropecuário DN 25 mm PN 60</t>
  </si>
  <si>
    <t>Curva 90° PVC sold. 25 mm marrom</t>
  </si>
  <si>
    <t>Adaptador PVC sold. 25 mm x 3/4" marrom</t>
  </si>
  <si>
    <t>COT-04</t>
  </si>
  <si>
    <t>Aspersor de irrigação rosca fêmea 3/4" (sobreposição ≥ 65%; diâmetro molhado ≥ 19,8 m; pressão de serviço ≤ 20 mca; 0,500 m³/h ≤ QE ≤ 0,555 m³/h)</t>
  </si>
  <si>
    <t>Concreto magro para lastro, traço 1:4,5:4,5 (em massa seca de cimento/areia média/brita 1) - preparo manual</t>
  </si>
  <si>
    <t>Anel de concreto armado com furos/dreno para sumidouro; diâmetro = 0,80 m; altura = 0,50 m</t>
  </si>
  <si>
    <t>Tampa de concreto armado para fossa; diâmetro = 0,90 m; espessura = 0,05 m</t>
  </si>
  <si>
    <t>7.1</t>
  </si>
  <si>
    <t>7.2</t>
  </si>
  <si>
    <t>7.3</t>
  </si>
  <si>
    <t>7.4</t>
  </si>
  <si>
    <t>Adesivo plástico para PVC frasco com 850 g</t>
  </si>
  <si>
    <t>Solução preparadora  para PVC frasco com 1 L</t>
  </si>
  <si>
    <t>SINAPI-3148</t>
  </si>
  <si>
    <t>Fita veda rosca em rolos de 18 mm x 50 m</t>
  </si>
  <si>
    <t>Lixa d'água em folha, grão 100</t>
  </si>
  <si>
    <t>II. Serviços</t>
  </si>
  <si>
    <t>8. Mão de obra e Serviços Mecanizados</t>
  </si>
  <si>
    <t>8.1</t>
  </si>
  <si>
    <t>8.2</t>
  </si>
  <si>
    <t>8.3</t>
  </si>
  <si>
    <t>8.4</t>
  </si>
  <si>
    <t>Encanador ou bombeiro hidráulico com encargos complementares (01 encanador ou bombeiro hidráulico em jornada de trabalho de 8 h por dia)</t>
  </si>
  <si>
    <t>h</t>
  </si>
  <si>
    <t>SINAPI-88248</t>
  </si>
  <si>
    <t>Auxiliar de encanador ou bombeiro hidráulico com encargos complementares (02 auxiliares de encanador ou bombeiro hidráulico em jornada de trabalho de 8 h por dia)</t>
  </si>
  <si>
    <t>Empresa 2 (BBB)
(D)</t>
  </si>
  <si>
    <t>Empresa 3 (CCC)
(E)</t>
  </si>
  <si>
    <t>Empresa 4 (DDD)
(F)</t>
  </si>
  <si>
    <t>Empresa 5 (EEE)
(G)</t>
  </si>
  <si>
    <t>Total</t>
  </si>
  <si>
    <t xml:space="preserve">SISTEMA DE IRRIGAÇÃO - MICROASPERSÃO - 0,5 ha </t>
  </si>
  <si>
    <t>2.17</t>
  </si>
  <si>
    <t>2.18</t>
  </si>
  <si>
    <t>Motobomba centrífuga monofásica, 220 V, Pot. = 2,0 CV; rendimento ≥ 50%; altura manométrica = 34 mca; Q = 7,5 m³/h</t>
  </si>
  <si>
    <t>Curva de ferro para saída de bomba 1"</t>
  </si>
  <si>
    <t xml:space="preserve">Bucha de redução soldável PVC 50 mm x 1" </t>
  </si>
  <si>
    <t>Filtro de disco 120 mesh 1 1/2"</t>
  </si>
  <si>
    <t>COT-05</t>
  </si>
  <si>
    <t>Chave de partida magnética monofásica 2,0 CV 220 V</t>
  </si>
  <si>
    <t>Luva soldável com rosca PVC sold. 25 mm x 3/4" marrom</t>
  </si>
  <si>
    <t>ORSE-9520</t>
  </si>
  <si>
    <t>Cap PVC sold. Irrigação 50 mm</t>
  </si>
  <si>
    <t>5.6</t>
  </si>
  <si>
    <t>5.7</t>
  </si>
  <si>
    <t>5.8</t>
  </si>
  <si>
    <t>5.9</t>
  </si>
  <si>
    <t>5.1</t>
  </si>
  <si>
    <t>CATMAT-455503</t>
  </si>
  <si>
    <t>Tubo PELBD 16 mm PN 30</t>
  </si>
  <si>
    <t>COT-06</t>
  </si>
  <si>
    <t>Anel de borracha/vedação (chula) para conector inicial/início de linha PELBD DN 16 mm</t>
  </si>
  <si>
    <t>CATMAT-454998</t>
  </si>
  <si>
    <t>Conector inicial/início de linha com anel para tubo PELBD DN 16 mm</t>
  </si>
  <si>
    <t>COT-07</t>
  </si>
  <si>
    <t>Microaspersor de irrigação (sobreposição ≥ 65%; diâmetro molhado ≥ 4,95 m; pressão de serviço ≤ 15 mca; 0,038 m³/h ≤ QE ≤ 0,062 m³/h)</t>
  </si>
  <si>
    <t>COT-08</t>
  </si>
  <si>
    <t>Conector para microtubo de DN 7 mm</t>
  </si>
  <si>
    <t>COT-09</t>
  </si>
  <si>
    <t>Microtubo para microaspersor DN 7 mm</t>
  </si>
  <si>
    <t>CATMAT-151016</t>
  </si>
  <si>
    <t>Haste para microaspersor 60 cm</t>
  </si>
  <si>
    <t>COT-10</t>
  </si>
  <si>
    <t>Final de linha para tubo PELBD DN 16 mm</t>
  </si>
  <si>
    <t>CATMAT-481760</t>
  </si>
  <si>
    <t>União para tubo PELBD DN 16 mm</t>
  </si>
  <si>
    <t>Solução preparadora para PVC frasco com 1 L</t>
  </si>
  <si>
    <t>SINAPI-3146</t>
  </si>
  <si>
    <t>Fita veda rosca em rolos de 18 mm x 10 m</t>
  </si>
  <si>
    <t>9. Mão de obra e Serviços Mecanizados</t>
  </si>
  <si>
    <t>9.1</t>
  </si>
  <si>
    <t>9.2</t>
  </si>
  <si>
    <t>9.3</t>
  </si>
  <si>
    <t>9.4</t>
  </si>
  <si>
    <t>8. Outros</t>
  </si>
  <si>
    <t>SINAPI-10229</t>
  </si>
  <si>
    <t>Válvula de pé com crivo de bronze rosca fêmea 3/4''</t>
  </si>
  <si>
    <t>SINAPI-9906</t>
  </si>
  <si>
    <t>União PVC sold. 25 mm marrom</t>
  </si>
  <si>
    <t>ORSE-370</t>
  </si>
  <si>
    <t>Bucha de redução PVC 1" x 3/4"</t>
  </si>
  <si>
    <t>Motobomba centrífuga monofásica, 220 V, Pot. = 0,50 CV; rendimento ≥ 50%; altura manométrica = 18 mca; Q = 0,52 m³/h</t>
  </si>
  <si>
    <t>SINAPI-3907</t>
  </si>
  <si>
    <t>Luva de redução roscável PVC 1" x 3/4"</t>
  </si>
  <si>
    <t>SINAPI-11674</t>
  </si>
  <si>
    <t>Registro de esfera PVC sold. 25 mm</t>
  </si>
  <si>
    <t>ORSE-8783</t>
  </si>
  <si>
    <t>Válvula de retenção PVC sold. 25 mm</t>
  </si>
  <si>
    <t>SINAPI-37947</t>
  </si>
  <si>
    <t>Tê com derivação roscável PVC sold. 25 mm x 3/4" marrom</t>
  </si>
  <si>
    <t xml:space="preserve">Luva soldável com rosca  PVC sold. 25 mm x 3/4" marrom </t>
  </si>
  <si>
    <t>CATMAT-453332</t>
  </si>
  <si>
    <t>Filtro de disco 120 mesh 3/4"</t>
  </si>
  <si>
    <t>Chave de partida magnética monofásica 0,5 CV 220 V</t>
  </si>
  <si>
    <t>SINAPI-1927</t>
  </si>
  <si>
    <t>Curva 45° PVC sold. 25 mm marrom</t>
  </si>
  <si>
    <t>Tubo gotejador autocompensante 16 mm PN 30 (espaçamento entre gotejadores = 30 cm; espessura ≥ 25 mil; 10 mca ≤ pressão de serviço ≤ 40 mca; 1,5 L/h ≤ Q ≤ 1,7 L/h)</t>
  </si>
  <si>
    <t>Joelho 90° com anel trava PELBD 16 mm</t>
  </si>
  <si>
    <t>Registro união com anel trava PELBD 16 mm</t>
  </si>
  <si>
    <t>Tê com anel trava PELBD 16 mm</t>
  </si>
  <si>
    <t xml:space="preserve">Luva soldável com rosca PVC sold. 25 mm x 3/4" marrom </t>
  </si>
  <si>
    <t>Registro inicial PELBD 16mm com rosca 3/4"</t>
  </si>
  <si>
    <t>7. Cercado Telado Horta</t>
  </si>
  <si>
    <t>7.5</t>
  </si>
  <si>
    <t>7.6</t>
  </si>
  <si>
    <t>7.7</t>
  </si>
  <si>
    <t>7.8</t>
  </si>
  <si>
    <t>CATMAT-320915</t>
  </si>
  <si>
    <t xml:space="preserve">Tela de arame galvanizado tipo galilheiro; altura ≥ 1,5 m </t>
  </si>
  <si>
    <t>SINAPI-21138</t>
  </si>
  <si>
    <t>Mourão roliço de madeira em eucalipto tratado ou sabiá; diâmetro ≥ 8 cm, altura = 2,2 m</t>
  </si>
  <si>
    <t>SINAPI-4408</t>
  </si>
  <si>
    <t>Ripa de madeira não aparelhada 1,5 cm x 5 cm</t>
  </si>
  <si>
    <t>SINAPI-3119</t>
  </si>
  <si>
    <t>Ferrolho com fecho/trinco redondo; em aco galvanizado/zincado; de sobrepor; com comprimento de 2" e espessura minima da chapa de 0,90 mm</t>
  </si>
  <si>
    <t>SINAPI-4379</t>
  </si>
  <si>
    <t>Parafuso de aço zincado com rosca soberba para ferrolho; cabeça chata</t>
  </si>
  <si>
    <t>SINAPI-2433</t>
  </si>
  <si>
    <t xml:space="preserve">Dobradiça em aço/ferro 3 1/2" x 3"; espessura de 1,9 mm a 1,8 mm; cromado ou zincado; tampa chata; com parafusos </t>
  </si>
  <si>
    <t>SINAPI-5076</t>
  </si>
  <si>
    <t>Grampo de aço polido para cerca 1" x 9</t>
  </si>
  <si>
    <t>kg</t>
  </si>
  <si>
    <t>ORSE-194</t>
  </si>
  <si>
    <t>Arame liso galvanizado 14 bwg (2,1 mm; 0,026kg/m) (200 m)</t>
  </si>
  <si>
    <t>SINAPI-20080</t>
  </si>
  <si>
    <t>Adesivo plástico para PVC frasco com 175 g</t>
  </si>
  <si>
    <t>CATMAT-353517</t>
  </si>
  <si>
    <t>Solução preparadora  para PVC frasco com 200 cm³</t>
  </si>
  <si>
    <t>Auxiliar de encanador ou bombeiro hidráulico com encargos complementares (01 auxiliar de encanador ou bombeiro hidráulico em jornada de trabalho de 8 h por dia)</t>
  </si>
  <si>
    <t>SINAPI-88261</t>
  </si>
  <si>
    <t>Carpinteiro de esquadria com encargos complementares (01 carpinteiro em jornada de trabalho de 8 h por dia)</t>
  </si>
  <si>
    <t>SINAPI-88239</t>
  </si>
  <si>
    <t>Ajudante de carpinteiro com encargos complementares (01 ajudante de carpinteiro em jornada de trabalho de 8 h por dia)</t>
  </si>
  <si>
    <t>SISTEMA DE IRRIGAÇÃO</t>
  </si>
  <si>
    <t>QUANTIDADE DEMANDADA
(unid)</t>
  </si>
  <si>
    <t>VALOR TOTAL ORÇADO
(R$)</t>
  </si>
  <si>
    <t>VALOR UNITÁRIO ORÇADO
(R$)</t>
  </si>
  <si>
    <t xml:space="preserve">SISTEMA DE IRRIGAÇÃO - ASPERSÃO CONVENCIONAL - 1 ha </t>
  </si>
  <si>
    <t>MINI KIT-GOTEJAMENTO - HORTA-500 m²</t>
  </si>
  <si>
    <t>SISTEMAS DE IRRIGAÇÃO</t>
  </si>
  <si>
    <t xml:space="preserve">                                      MINISTÉRIO DA INTEGRAÇÃO E DO DESENVOLVIMENTO REGIONAL (MIDR)</t>
  </si>
  <si>
    <t xml:space="preserve">                                      COMPANHIA DE DESENVOLVIMENTO DOS VALES DO SÃO FRANCISCO E DO PARNAÍBA</t>
  </si>
  <si>
    <t xml:space="preserve">                                      ÁREA DE IRRIGAÇÃO E OPERAÇÕES (AI)</t>
  </si>
  <si>
    <t xml:space="preserve">                      MINISTÉRIO DA INTEGRAÇÃO E DO DESENVOLVIMENTO REGIONAL (MIDR)</t>
  </si>
  <si>
    <t xml:space="preserve">                      COMPANHIA DE DESENVOLVIMENTO DOS VALES DO SÃO FRANCISCO E DO PARNAÍBA</t>
  </si>
  <si>
    <t xml:space="preserve">                      ÁREA DE IRRIGAÇÃO E OPERAÇÕES (AI)</t>
  </si>
  <si>
    <t>8369</t>
  </si>
  <si>
    <t>10232</t>
  </si>
  <si>
    <t>SISTEMAS DE REFERÊNCIA
(B)
(R$)</t>
  </si>
  <si>
    <t>9517</t>
  </si>
  <si>
    <t>9521</t>
  </si>
  <si>
    <t>9897</t>
  </si>
  <si>
    <t>8352</t>
  </si>
  <si>
    <t>1797</t>
  </si>
  <si>
    <t>3871</t>
  </si>
  <si>
    <t>11677</t>
  </si>
  <si>
    <t>2402</t>
  </si>
  <si>
    <t>9507</t>
  </si>
  <si>
    <t>798</t>
  </si>
  <si>
    <t>770</t>
  </si>
  <si>
    <t>12899</t>
  </si>
  <si>
    <t>1014</t>
  </si>
  <si>
    <t>591</t>
  </si>
  <si>
    <t>9514</t>
  </si>
  <si>
    <t>9504</t>
  </si>
  <si>
    <t>38023</t>
  </si>
  <si>
    <t>7129</t>
  </si>
  <si>
    <t>7139</t>
  </si>
  <si>
    <t>1956</t>
  </si>
  <si>
    <t>65</t>
  </si>
  <si>
    <t>94974</t>
  </si>
  <si>
    <t>41637</t>
  </si>
  <si>
    <t>41613</t>
  </si>
  <si>
    <t>88267</t>
  </si>
  <si>
    <t>88248</t>
  </si>
  <si>
    <t>PLANILHA ORÇAMENTÁRIA-5ª SUPERINTENDÊNCIA REGIONAL (GRUPO 1 E 2) - ANEXO-2</t>
  </si>
  <si>
    <t xml:space="preserve">                                    MINISTÉRIO DA INTEGRAÇÃO E DO DESENVOLVIMENTO REGIONAL (MIDR)</t>
  </si>
  <si>
    <t xml:space="preserve">                                    COMPANHIA DE DESENVOLVIMENTO DOS VALES DO SÃO FRANCISCO E DO PARNAÍBA</t>
  </si>
  <si>
    <t xml:space="preserve">                                    ÁREA DE IRRIGAÇÃO E OPERAÇÕES (AI)</t>
  </si>
  <si>
    <t>PLANILHA ORÇAMENTÁRIA-5ª SUPERINTENDÊNCIA REGIONAL (GRUPO 1 E 2) - ANEXO-4</t>
  </si>
  <si>
    <t>PLANILHA ORÇAMENTÁRIA-5ª SUPERINTENDÊNCIA REGIONAL (GRUPO 1 E 2) - ANEXO-3</t>
  </si>
  <si>
    <t>PLANILHA ORÇAMENTÁRIA-5ª SUPERINTENDÊNCIA REGIONAL (GRUPO 1 E 2) -TOTALIZADOR - ANEXO-5</t>
  </si>
  <si>
    <r>
      <t>MÉDIA SANEADA</t>
    </r>
    <r>
      <rPr>
        <b/>
        <vertAlign val="superscript"/>
        <sz val="12"/>
        <color theme="1"/>
        <rFont val="Times New Roman"/>
        <family val="1"/>
      </rPr>
      <t>1
(M)</t>
    </r>
  </si>
  <si>
    <r>
      <t>MEDIANA DOS PREÇOS DE MERCADO</t>
    </r>
    <r>
      <rPr>
        <b/>
        <vertAlign val="super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 xml:space="preserve">
(N)</t>
    </r>
  </si>
  <si>
    <t>TOTAL (R$)
(O) = (AxM)
ou
(O) = (AxN)</t>
  </si>
  <si>
    <r>
      <t>Internet</t>
    </r>
    <r>
      <rPr>
        <b/>
        <vertAlign val="superscript"/>
        <sz val="12"/>
        <color theme="1"/>
        <rFont val="Times New Roman"/>
        <family val="1"/>
      </rPr>
      <t>1</t>
    </r>
    <r>
      <rPr>
        <b/>
        <sz val="12"/>
        <color theme="1"/>
        <rFont val="Times New Roman"/>
        <family val="1"/>
      </rPr>
      <t xml:space="preserve">
(C)</t>
    </r>
  </si>
  <si>
    <r>
      <rPr>
        <vertAlign val="superscript"/>
        <sz val="12"/>
        <color theme="1"/>
        <rFont val="Times New Roman"/>
        <family val="1"/>
      </rPr>
      <t>2, 3 e 4</t>
    </r>
    <r>
      <rPr>
        <sz val="12"/>
        <color theme="1"/>
        <rFont val="Times New Roman"/>
        <family val="1"/>
      </rPr>
      <t xml:space="preserve"> A metodologia de cálculo dos valores em questão está descrita no item C deste Parecer de Custos.</t>
    </r>
  </si>
  <si>
    <r>
      <rPr>
        <vertAlign val="super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 xml:space="preserve"> As cotações (preços unitários) registradas nesta coluna foram obtidas através de pesquisa em sítios da internet; e</t>
    </r>
  </si>
  <si>
    <r>
      <t xml:space="preserve">2, 3 e 4 </t>
    </r>
    <r>
      <rPr>
        <sz val="12"/>
        <color theme="1"/>
        <rFont val="Times New Roman"/>
        <family val="1"/>
      </rPr>
      <t>A metodologia de cálculo dos valores em questão está descrita no item C deste Parecer de Custos.</t>
    </r>
  </si>
  <si>
    <r>
      <rPr>
        <vertAlign val="superscript"/>
        <sz val="12"/>
        <color theme="1"/>
        <rFont val="Times New Roman"/>
        <family val="1"/>
      </rPr>
      <t xml:space="preserve">2, 3 e 4 </t>
    </r>
    <r>
      <rPr>
        <sz val="12"/>
        <color theme="1"/>
        <rFont val="Times New Roman"/>
        <family val="1"/>
      </rPr>
      <t>A metodologia de cálculo dos valores em questão está descrita no item C deste Parecer de Custos.</t>
    </r>
  </si>
  <si>
    <t>1 e 4</t>
  </si>
  <si>
    <t>2 e 5</t>
  </si>
  <si>
    <t>3 e 6</t>
  </si>
  <si>
    <t>Sistema de irrigação por aspersão, malha fixa, com abrigo para o conjunto motobomba e capacidade para irrigar área de 1,0 hectare, para a tensão nominal de 220V.</t>
  </si>
  <si>
    <t>Sistema de irrigação localizada, por microaspersão, fixo, com sistema de filtragem, abrigo para o conjunto motobomba e capacidade para irrigar área de 0,50 hectare,para a tensão nominal de 220V.</t>
  </si>
  <si>
    <t>1.7)	Sistema de irrigação localizada, por gotejamento, fixo, para horta de 500 m², com sistema de filtragem, abrigo para o conjunto motobomba e cercado de proteção, construído com tela galvanizada tipo galinheiro e mourões de madeira, para a tensão nominal de 220V.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</si>
</sst>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20"/>
      <color theme="0"/>
      <name val="Times New Roman"/>
      <family val="1"/>
    </font>
    <font>
      <b/>
      <vertAlign val="super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center"/>
    </xf>
    <xf numFmtId="0" fontId="1" fillId="3" borderId="0" xfId="0" applyFont="1" applyFill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right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0" borderId="5" xfId="0" applyFont="1" applyFill="1" applyBorder="1"/>
    <xf numFmtId="0" fontId="1" fillId="0" borderId="5" xfId="0" applyFont="1" applyBorder="1" applyAlignment="1">
      <alignment horizont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4" fillId="4" borderId="3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4" fontId="3" fillId="0" borderId="1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justify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justify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1247775</xdr:colOff>
          <xdr:row>2</xdr:row>
          <xdr:rowOff>171450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742950</xdr:colOff>
          <xdr:row>2</xdr:row>
          <xdr:rowOff>171450</xdr:rowOff>
        </xdr:to>
        <xdr:sp macro="" textlink="">
          <xdr:nvSpPr>
            <xdr:cNvPr id="31745" name="Object 1" hidden="1">
              <a:extLst>
                <a:ext uri="{63B3BB69-23CF-44E3-9099-C40C66FF867C}">
                  <a14:compatExt spid="_x0000_s31745"/>
                </a:ext>
                <a:ext uri="{FF2B5EF4-FFF2-40B4-BE49-F238E27FC236}">
                  <a16:creationId xmlns:a16="http://schemas.microsoft.com/office/drawing/2014/main" id="{00000000-0008-0000-0100-00000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1171575</xdr:colOff>
          <xdr:row>2</xdr:row>
          <xdr:rowOff>171450</xdr:rowOff>
        </xdr:to>
        <xdr:sp macro="" textlink="">
          <xdr:nvSpPr>
            <xdr:cNvPr id="36865" name="Object 1" hidden="1">
              <a:extLst>
                <a:ext uri="{63B3BB69-23CF-44E3-9099-C40C66FF867C}">
                  <a14:compatExt spid="_x0000_s36865"/>
                </a:ext>
                <a:ext uri="{FF2B5EF4-FFF2-40B4-BE49-F238E27FC236}">
                  <a16:creationId xmlns:a16="http://schemas.microsoft.com/office/drawing/2014/main" id="{00000000-0008-0000-0200-000001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1438275</xdr:colOff>
          <xdr:row>2</xdr:row>
          <xdr:rowOff>171450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3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74"/>
  <sheetViews>
    <sheetView view="pageBreakPreview" topLeftCell="Q55" zoomScale="130" zoomScaleNormal="352" zoomScaleSheetLayoutView="130" workbookViewId="0">
      <selection activeCell="C35" sqref="C35"/>
    </sheetView>
  </sheetViews>
  <sheetFormatPr defaultRowHeight="15.75" x14ac:dyDescent="0.25"/>
  <cols>
    <col min="1" max="1" width="17.85546875" style="1" customWidth="1"/>
    <col min="2" max="2" width="20.140625" style="1" customWidth="1"/>
    <col min="3" max="3" width="75.85546875" style="3" customWidth="1"/>
    <col min="4" max="4" width="14.42578125" style="3" customWidth="1"/>
    <col min="5" max="5" width="12.7109375" style="3" customWidth="1"/>
    <col min="6" max="8" width="12.7109375" style="4" customWidth="1"/>
    <col min="9" max="9" width="30.28515625" style="5" customWidth="1"/>
    <col min="10" max="10" width="31.5703125" style="5" customWidth="1"/>
    <col min="11" max="11" width="53" style="3" customWidth="1"/>
    <col min="12" max="12" width="91.140625" style="3" customWidth="1"/>
    <col min="13" max="13" width="47" style="3" customWidth="1"/>
    <col min="14" max="18" width="33.5703125" style="3" customWidth="1"/>
    <col min="19" max="19" width="33.5703125" style="4" customWidth="1"/>
    <col min="20" max="20" width="33.5703125" style="3" customWidth="1"/>
    <col min="21" max="16384" width="9.140625" style="3"/>
  </cols>
  <sheetData>
    <row r="1" spans="1:20" x14ac:dyDescent="0.25">
      <c r="C1" s="2" t="s">
        <v>288</v>
      </c>
    </row>
    <row r="2" spans="1:20" x14ac:dyDescent="0.25">
      <c r="C2" s="2" t="s">
        <v>289</v>
      </c>
    </row>
    <row r="3" spans="1:20" x14ac:dyDescent="0.25">
      <c r="C3" s="2" t="s">
        <v>290</v>
      </c>
    </row>
    <row r="5" spans="1:20" x14ac:dyDescent="0.25">
      <c r="A5" s="65" t="s">
        <v>287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</row>
    <row r="6" spans="1:20" x14ac:dyDescent="0.25">
      <c r="A6" s="66" t="s">
        <v>249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</row>
    <row r="7" spans="1:20" x14ac:dyDescent="0.25">
      <c r="A7" s="65" t="s">
        <v>2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</row>
    <row r="8" spans="1:20" ht="16.5" thickBot="1" x14ac:dyDescent="0.3"/>
    <row r="9" spans="1:20" ht="78" customHeight="1" thickBot="1" x14ac:dyDescent="0.3">
      <c r="A9" s="67" t="s">
        <v>0</v>
      </c>
      <c r="B9" s="67" t="s">
        <v>4</v>
      </c>
      <c r="C9" s="67" t="s">
        <v>7</v>
      </c>
      <c r="D9" s="67" t="s">
        <v>1</v>
      </c>
      <c r="E9" s="68" t="s">
        <v>10</v>
      </c>
      <c r="F9" s="56" t="s">
        <v>260</v>
      </c>
      <c r="G9" s="69"/>
      <c r="H9" s="69"/>
      <c r="I9" s="70" t="s">
        <v>20</v>
      </c>
      <c r="J9" s="71"/>
      <c r="K9" s="71"/>
      <c r="L9" s="71"/>
      <c r="M9" s="72"/>
      <c r="N9" s="56" t="s">
        <v>11</v>
      </c>
      <c r="O9" s="56" t="s">
        <v>12</v>
      </c>
      <c r="P9" s="56" t="s">
        <v>13</v>
      </c>
      <c r="Q9" s="56" t="s">
        <v>14</v>
      </c>
      <c r="R9" s="56" t="s">
        <v>16</v>
      </c>
      <c r="S9" s="73" t="s">
        <v>21</v>
      </c>
      <c r="T9" s="56" t="s">
        <v>22</v>
      </c>
    </row>
    <row r="10" spans="1:20" ht="80.25" customHeight="1" thickBot="1" x14ac:dyDescent="0.3">
      <c r="A10" s="67"/>
      <c r="B10" s="67"/>
      <c r="C10" s="67"/>
      <c r="D10" s="67"/>
      <c r="E10" s="67"/>
      <c r="F10" s="22" t="s">
        <v>5</v>
      </c>
      <c r="G10" s="22" t="s">
        <v>6</v>
      </c>
      <c r="H10" s="21" t="s">
        <v>9</v>
      </c>
      <c r="I10" s="23" t="s">
        <v>297</v>
      </c>
      <c r="J10" s="23" t="s">
        <v>138</v>
      </c>
      <c r="K10" s="23" t="s">
        <v>139</v>
      </c>
      <c r="L10" s="23" t="s">
        <v>140</v>
      </c>
      <c r="M10" s="23" t="s">
        <v>141</v>
      </c>
      <c r="N10" s="56"/>
      <c r="O10" s="56"/>
      <c r="P10" s="56"/>
      <c r="Q10" s="56"/>
      <c r="R10" s="56"/>
      <c r="S10" s="74"/>
      <c r="T10" s="56"/>
    </row>
    <row r="11" spans="1:20" ht="16.5" thickBot="1" x14ac:dyDescent="0.3">
      <c r="A11" s="57" t="s">
        <v>23</v>
      </c>
      <c r="B11" s="58"/>
      <c r="C11" s="58"/>
      <c r="D11" s="58"/>
      <c r="E11" s="59"/>
      <c r="F11" s="20"/>
      <c r="G11" s="20"/>
      <c r="H11" s="20"/>
      <c r="I11" s="12" t="s">
        <v>8</v>
      </c>
      <c r="J11" s="12" t="s">
        <v>8</v>
      </c>
      <c r="K11" s="12"/>
      <c r="L11" s="12"/>
      <c r="M11" s="12"/>
      <c r="N11" s="12"/>
      <c r="O11" s="12"/>
      <c r="P11" s="12"/>
      <c r="Q11" s="12"/>
      <c r="R11" s="12"/>
      <c r="S11" s="34"/>
      <c r="T11" s="12"/>
    </row>
    <row r="12" spans="1:20" ht="16.5" thickBot="1" x14ac:dyDescent="0.3">
      <c r="A12" s="57" t="s">
        <v>24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9"/>
    </row>
    <row r="13" spans="1:20" ht="24" customHeight="1" thickBot="1" x14ac:dyDescent="0.3">
      <c r="A13" s="14" t="s">
        <v>25</v>
      </c>
      <c r="B13" s="19" t="s">
        <v>258</v>
      </c>
      <c r="C13" s="16" t="s">
        <v>31</v>
      </c>
      <c r="D13" s="14" t="s">
        <v>32</v>
      </c>
      <c r="E13" s="14">
        <v>3</v>
      </c>
      <c r="F13" s="15"/>
      <c r="G13" s="15"/>
      <c r="H13" s="15">
        <f>13.88</f>
        <v>13.88</v>
      </c>
      <c r="I13" s="8"/>
      <c r="J13" s="8"/>
      <c r="K13" s="9"/>
      <c r="L13" s="9"/>
      <c r="M13" s="9"/>
      <c r="N13" s="9" t="e">
        <f t="shared" ref="N13:N19" si="0">AVERAGE(I13:M13)</f>
        <v>#DIV/0!</v>
      </c>
      <c r="O13" s="13" t="e">
        <f t="shared" ref="O13:O19" si="1">STDEVPA(I13:M13)</f>
        <v>#DIV/0!</v>
      </c>
      <c r="P13" s="13" t="e">
        <f t="shared" ref="P13:P46" si="2">N13+O13</f>
        <v>#DIV/0!</v>
      </c>
      <c r="Q13" s="13" t="e">
        <f t="shared" ref="Q13:Q46" si="3">N13-O13</f>
        <v>#DIV/0!</v>
      </c>
      <c r="R13" s="9">
        <f t="shared" ref="R13:R19" si="4">IF(F13&gt;0,F13,IF(G13&gt;0,G13,IF(H13&gt;0,H13,AVERAGEIFS(I13:M13,I13:M13,"&gt;="&amp;Q13,I13:M13,"&lt;="&amp;P13))))</f>
        <v>13.88</v>
      </c>
      <c r="S13" s="13">
        <f t="shared" ref="S13:S19" si="5">IF(F13&gt;0,F13,IF(G13&gt;0,G13,IF(H13&gt;0,H13,MEDIAN(I13:M13))))</f>
        <v>13.88</v>
      </c>
      <c r="T13" s="9">
        <f t="shared" ref="T13:T19" si="6">IF(R13&gt;S13,S13*E13,R13*E13)</f>
        <v>41.64</v>
      </c>
    </row>
    <row r="14" spans="1:20" ht="24.75" customHeight="1" thickBot="1" x14ac:dyDescent="0.3">
      <c r="A14" s="14" t="s">
        <v>26</v>
      </c>
      <c r="B14" s="19" t="s">
        <v>259</v>
      </c>
      <c r="C14" s="16" t="s">
        <v>34</v>
      </c>
      <c r="D14" s="14" t="s">
        <v>35</v>
      </c>
      <c r="E14" s="14">
        <v>1</v>
      </c>
      <c r="F14" s="15">
        <f>200.46</f>
        <v>200.46</v>
      </c>
      <c r="G14" s="15"/>
      <c r="H14" s="15"/>
      <c r="I14" s="8"/>
      <c r="J14" s="8"/>
      <c r="K14" s="9"/>
      <c r="L14" s="9"/>
      <c r="M14" s="9"/>
      <c r="N14" s="9" t="e">
        <f t="shared" si="0"/>
        <v>#DIV/0!</v>
      </c>
      <c r="O14" s="13" t="e">
        <f t="shared" si="1"/>
        <v>#DIV/0!</v>
      </c>
      <c r="P14" s="13" t="e">
        <f t="shared" si="2"/>
        <v>#DIV/0!</v>
      </c>
      <c r="Q14" s="13" t="e">
        <f t="shared" si="3"/>
        <v>#DIV/0!</v>
      </c>
      <c r="R14" s="9">
        <f t="shared" si="4"/>
        <v>200.46</v>
      </c>
      <c r="S14" s="13">
        <f t="shared" si="5"/>
        <v>200.46</v>
      </c>
      <c r="T14" s="9">
        <f t="shared" si="6"/>
        <v>200.46</v>
      </c>
    </row>
    <row r="15" spans="1:20" ht="21" customHeight="1" thickBot="1" x14ac:dyDescent="0.3">
      <c r="A15" s="14" t="s">
        <v>27</v>
      </c>
      <c r="B15" s="19" t="s">
        <v>36</v>
      </c>
      <c r="C15" s="16" t="s">
        <v>37</v>
      </c>
      <c r="D15" s="14" t="s">
        <v>35</v>
      </c>
      <c r="E15" s="14">
        <v>1</v>
      </c>
      <c r="F15" s="15"/>
      <c r="G15" s="15"/>
      <c r="H15" s="15"/>
      <c r="I15" s="15">
        <v>2.75</v>
      </c>
      <c r="J15" s="8"/>
      <c r="K15" s="9"/>
      <c r="L15" s="9"/>
      <c r="M15" s="9"/>
      <c r="N15" s="9">
        <f t="shared" si="0"/>
        <v>2.75</v>
      </c>
      <c r="O15" s="13">
        <f t="shared" si="1"/>
        <v>0</v>
      </c>
      <c r="P15" s="13">
        <f t="shared" si="2"/>
        <v>2.75</v>
      </c>
      <c r="Q15" s="13">
        <f t="shared" si="3"/>
        <v>2.75</v>
      </c>
      <c r="R15" s="9">
        <f t="shared" si="4"/>
        <v>2.75</v>
      </c>
      <c r="S15" s="13">
        <f t="shared" si="5"/>
        <v>2.75</v>
      </c>
      <c r="T15" s="9">
        <f t="shared" si="6"/>
        <v>2.75</v>
      </c>
    </row>
    <row r="16" spans="1:20" ht="26.25" customHeight="1" thickBot="1" x14ac:dyDescent="0.3">
      <c r="A16" s="14" t="s">
        <v>28</v>
      </c>
      <c r="B16" s="19" t="s">
        <v>261</v>
      </c>
      <c r="C16" s="16" t="s">
        <v>38</v>
      </c>
      <c r="D16" s="14" t="s">
        <v>35</v>
      </c>
      <c r="E16" s="17">
        <v>1</v>
      </c>
      <c r="F16" s="18"/>
      <c r="G16" s="18"/>
      <c r="H16" s="18">
        <f>16.55</f>
        <v>16.55</v>
      </c>
      <c r="I16" s="8"/>
      <c r="J16" s="15"/>
      <c r="K16" s="13"/>
      <c r="L16" s="13"/>
      <c r="M16" s="13"/>
      <c r="N16" s="9" t="e">
        <f t="shared" si="0"/>
        <v>#DIV/0!</v>
      </c>
      <c r="O16" s="13" t="e">
        <f t="shared" si="1"/>
        <v>#DIV/0!</v>
      </c>
      <c r="P16" s="13" t="e">
        <f t="shared" si="2"/>
        <v>#DIV/0!</v>
      </c>
      <c r="Q16" s="13" t="e">
        <f t="shared" si="3"/>
        <v>#DIV/0!</v>
      </c>
      <c r="R16" s="9">
        <f t="shared" si="4"/>
        <v>16.55</v>
      </c>
      <c r="S16" s="13">
        <f t="shared" si="5"/>
        <v>16.55</v>
      </c>
      <c r="T16" s="9">
        <f t="shared" si="6"/>
        <v>16.55</v>
      </c>
    </row>
    <row r="17" spans="1:20" s="4" customFormat="1" ht="24" customHeight="1" thickBot="1" x14ac:dyDescent="0.3">
      <c r="A17" s="14" t="s">
        <v>29</v>
      </c>
      <c r="B17" s="19" t="s">
        <v>263</v>
      </c>
      <c r="C17" s="11" t="s">
        <v>39</v>
      </c>
      <c r="D17" s="14" t="s">
        <v>35</v>
      </c>
      <c r="E17" s="17">
        <v>1</v>
      </c>
      <c r="F17" s="18">
        <f>28.74</f>
        <v>28.74</v>
      </c>
      <c r="G17" s="18"/>
      <c r="H17" s="18"/>
      <c r="I17" s="15"/>
      <c r="J17" s="15"/>
      <c r="K17" s="13"/>
      <c r="L17" s="13"/>
      <c r="M17" s="13"/>
      <c r="N17" s="13" t="e">
        <f t="shared" si="0"/>
        <v>#DIV/0!</v>
      </c>
      <c r="O17" s="13" t="e">
        <f t="shared" si="1"/>
        <v>#DIV/0!</v>
      </c>
      <c r="P17" s="13" t="e">
        <f t="shared" si="2"/>
        <v>#DIV/0!</v>
      </c>
      <c r="Q17" s="13" t="e">
        <f t="shared" si="3"/>
        <v>#DIV/0!</v>
      </c>
      <c r="R17" s="13">
        <f t="shared" si="4"/>
        <v>28.74</v>
      </c>
      <c r="S17" s="13">
        <f t="shared" si="5"/>
        <v>28.74</v>
      </c>
      <c r="T17" s="13">
        <f t="shared" si="6"/>
        <v>28.74</v>
      </c>
    </row>
    <row r="18" spans="1:20" ht="24.75" customHeight="1" thickBot="1" x14ac:dyDescent="0.3">
      <c r="A18" s="14" t="s">
        <v>29</v>
      </c>
      <c r="B18" s="19" t="s">
        <v>262</v>
      </c>
      <c r="C18" s="11" t="s">
        <v>40</v>
      </c>
      <c r="D18" s="14" t="s">
        <v>35</v>
      </c>
      <c r="E18" s="14">
        <v>1</v>
      </c>
      <c r="F18" s="15"/>
      <c r="G18" s="15"/>
      <c r="H18" s="15">
        <f>3.73</f>
        <v>3.73</v>
      </c>
      <c r="I18" s="8"/>
      <c r="J18" s="8"/>
      <c r="K18" s="9"/>
      <c r="L18" s="9"/>
      <c r="M18" s="9"/>
      <c r="N18" s="9" t="e">
        <f t="shared" si="0"/>
        <v>#DIV/0!</v>
      </c>
      <c r="O18" s="13" t="e">
        <f t="shared" si="1"/>
        <v>#DIV/0!</v>
      </c>
      <c r="P18" s="13" t="e">
        <f t="shared" si="2"/>
        <v>#DIV/0!</v>
      </c>
      <c r="Q18" s="13" t="e">
        <f t="shared" si="3"/>
        <v>#DIV/0!</v>
      </c>
      <c r="R18" s="9">
        <f t="shared" si="4"/>
        <v>3.73</v>
      </c>
      <c r="S18" s="13">
        <f t="shared" si="5"/>
        <v>3.73</v>
      </c>
      <c r="T18" s="9">
        <f t="shared" si="6"/>
        <v>3.73</v>
      </c>
    </row>
    <row r="19" spans="1:20" ht="27" customHeight="1" thickBot="1" x14ac:dyDescent="0.3">
      <c r="A19" s="14" t="s">
        <v>30</v>
      </c>
      <c r="B19" s="19" t="s">
        <v>264</v>
      </c>
      <c r="C19" s="11" t="s">
        <v>41</v>
      </c>
      <c r="D19" s="14" t="s">
        <v>35</v>
      </c>
      <c r="E19" s="14">
        <v>1</v>
      </c>
      <c r="F19" s="15"/>
      <c r="G19" s="15"/>
      <c r="H19" s="15">
        <f>3.77</f>
        <v>3.77</v>
      </c>
      <c r="I19" s="8"/>
      <c r="J19" s="8"/>
      <c r="K19" s="9"/>
      <c r="L19" s="9"/>
      <c r="M19" s="9"/>
      <c r="N19" s="9" t="e">
        <f t="shared" si="0"/>
        <v>#DIV/0!</v>
      </c>
      <c r="O19" s="13" t="e">
        <f t="shared" si="1"/>
        <v>#DIV/0!</v>
      </c>
      <c r="P19" s="13" t="e">
        <f t="shared" si="2"/>
        <v>#DIV/0!</v>
      </c>
      <c r="Q19" s="13" t="e">
        <f t="shared" si="3"/>
        <v>#DIV/0!</v>
      </c>
      <c r="R19" s="9">
        <f t="shared" si="4"/>
        <v>3.77</v>
      </c>
      <c r="S19" s="13">
        <f t="shared" si="5"/>
        <v>3.77</v>
      </c>
      <c r="T19" s="9">
        <f t="shared" si="6"/>
        <v>3.77</v>
      </c>
    </row>
    <row r="20" spans="1:20" ht="18.75" customHeight="1" thickBot="1" x14ac:dyDescent="0.3">
      <c r="A20" s="57" t="s">
        <v>42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9"/>
    </row>
    <row r="21" spans="1:20" ht="38.25" customHeight="1" thickBot="1" x14ac:dyDescent="0.3">
      <c r="A21" s="14" t="s">
        <v>43</v>
      </c>
      <c r="B21" s="19" t="s">
        <v>60</v>
      </c>
      <c r="C21" s="11" t="s">
        <v>61</v>
      </c>
      <c r="D21" s="14" t="s">
        <v>35</v>
      </c>
      <c r="E21" s="14">
        <v>1</v>
      </c>
      <c r="F21" s="15"/>
      <c r="G21" s="15"/>
      <c r="H21" s="15"/>
      <c r="I21" s="50">
        <v>1726</v>
      </c>
      <c r="J21" s="8"/>
      <c r="K21" s="9"/>
      <c r="L21" s="9"/>
      <c r="M21" s="9"/>
      <c r="N21" s="9">
        <f t="shared" ref="N21:N36" si="7">AVERAGE(I21:M21)</f>
        <v>1726</v>
      </c>
      <c r="O21" s="13">
        <f t="shared" ref="O21:O36" si="8">STDEVPA(I21:M21)</f>
        <v>0</v>
      </c>
      <c r="P21" s="13">
        <f t="shared" si="2"/>
        <v>1726</v>
      </c>
      <c r="Q21" s="13">
        <f t="shared" si="3"/>
        <v>1726</v>
      </c>
      <c r="R21" s="9">
        <f t="shared" ref="R21:R36" si="9">IF(F21&gt;0,F21,IF(G21&gt;0,G21,IF(H21&gt;0,H21,AVERAGEIFS(I21:M21,I21:M21,"&gt;="&amp;Q21,I21:M21,"&lt;="&amp;P21))))</f>
        <v>1726</v>
      </c>
      <c r="S21" s="13">
        <f t="shared" ref="S21:S36" si="10">IF(F21&gt;0,F21,IF(G21&gt;0,G21,IF(H21&gt;0,H21,MEDIAN(I21:M21))))</f>
        <v>1726</v>
      </c>
      <c r="T21" s="13">
        <f t="shared" ref="T21:T36" si="11">IF(R21&gt;S21,S21*E21,R21*E21)</f>
        <v>1726</v>
      </c>
    </row>
    <row r="22" spans="1:20" ht="24" customHeight="1" thickBot="1" x14ac:dyDescent="0.3">
      <c r="A22" s="7" t="s">
        <v>44</v>
      </c>
      <c r="B22" s="19" t="s">
        <v>265</v>
      </c>
      <c r="C22" s="11" t="s">
        <v>63</v>
      </c>
      <c r="D22" s="14" t="s">
        <v>35</v>
      </c>
      <c r="E22" s="14">
        <v>1</v>
      </c>
      <c r="F22" s="15">
        <f>100.6</f>
        <v>100.6</v>
      </c>
      <c r="G22" s="15"/>
      <c r="H22" s="15"/>
      <c r="I22" s="8"/>
      <c r="J22" s="8"/>
      <c r="K22" s="9"/>
      <c r="L22" s="9"/>
      <c r="M22" s="9"/>
      <c r="N22" s="9" t="e">
        <f t="shared" si="7"/>
        <v>#DIV/0!</v>
      </c>
      <c r="O22" s="13" t="e">
        <f t="shared" si="8"/>
        <v>#DIV/0!</v>
      </c>
      <c r="P22" s="13" t="e">
        <f t="shared" si="2"/>
        <v>#DIV/0!</v>
      </c>
      <c r="Q22" s="13" t="e">
        <f t="shared" si="3"/>
        <v>#DIV/0!</v>
      </c>
      <c r="R22" s="9">
        <f t="shared" si="9"/>
        <v>100.6</v>
      </c>
      <c r="S22" s="13">
        <f t="shared" si="10"/>
        <v>100.6</v>
      </c>
      <c r="T22" s="13">
        <f t="shared" si="11"/>
        <v>100.6</v>
      </c>
    </row>
    <row r="23" spans="1:20" ht="24.75" customHeight="1" thickBot="1" x14ac:dyDescent="0.3">
      <c r="A23" s="7" t="s">
        <v>45</v>
      </c>
      <c r="B23" s="19" t="s">
        <v>266</v>
      </c>
      <c r="C23" s="11" t="s">
        <v>65</v>
      </c>
      <c r="D23" s="14" t="s">
        <v>35</v>
      </c>
      <c r="E23" s="14">
        <v>1</v>
      </c>
      <c r="F23" s="15">
        <f>19</f>
        <v>19</v>
      </c>
      <c r="G23" s="15"/>
      <c r="H23" s="15"/>
      <c r="I23" s="8"/>
      <c r="J23" s="8"/>
      <c r="K23" s="9"/>
      <c r="L23" s="9"/>
      <c r="M23" s="9"/>
      <c r="N23" s="9" t="e">
        <f t="shared" si="7"/>
        <v>#DIV/0!</v>
      </c>
      <c r="O23" s="13" t="e">
        <f t="shared" si="8"/>
        <v>#DIV/0!</v>
      </c>
      <c r="P23" s="13" t="e">
        <f t="shared" si="2"/>
        <v>#DIV/0!</v>
      </c>
      <c r="Q23" s="13" t="e">
        <f t="shared" si="3"/>
        <v>#DIV/0!</v>
      </c>
      <c r="R23" s="9">
        <f t="shared" si="9"/>
        <v>19</v>
      </c>
      <c r="S23" s="13">
        <f t="shared" si="10"/>
        <v>19</v>
      </c>
      <c r="T23" s="13">
        <f t="shared" si="11"/>
        <v>19</v>
      </c>
    </row>
    <row r="24" spans="1:20" ht="27" customHeight="1" thickBot="1" x14ac:dyDescent="0.3">
      <c r="A24" s="7" t="s">
        <v>46</v>
      </c>
      <c r="B24" s="19" t="s">
        <v>263</v>
      </c>
      <c r="C24" s="11" t="s">
        <v>39</v>
      </c>
      <c r="D24" s="14" t="s">
        <v>35</v>
      </c>
      <c r="E24" s="43">
        <v>1</v>
      </c>
      <c r="F24" s="15">
        <f>28.74</f>
        <v>28.74</v>
      </c>
      <c r="G24" s="15"/>
      <c r="H24" s="15"/>
      <c r="I24" s="8"/>
      <c r="J24" s="8"/>
      <c r="K24" s="9"/>
      <c r="L24" s="9"/>
      <c r="M24" s="9"/>
      <c r="N24" s="9" t="e">
        <f t="shared" si="7"/>
        <v>#DIV/0!</v>
      </c>
      <c r="O24" s="13" t="e">
        <f t="shared" si="8"/>
        <v>#DIV/0!</v>
      </c>
      <c r="P24" s="13" t="e">
        <f t="shared" si="2"/>
        <v>#DIV/0!</v>
      </c>
      <c r="Q24" s="13" t="e">
        <f t="shared" si="3"/>
        <v>#DIV/0!</v>
      </c>
      <c r="R24" s="9">
        <f t="shared" si="9"/>
        <v>28.74</v>
      </c>
      <c r="S24" s="13">
        <f t="shared" si="10"/>
        <v>28.74</v>
      </c>
      <c r="T24" s="13">
        <f t="shared" si="11"/>
        <v>28.74</v>
      </c>
    </row>
    <row r="25" spans="1:20" ht="24.75" customHeight="1" thickBot="1" x14ac:dyDescent="0.3">
      <c r="A25" s="7" t="s">
        <v>47</v>
      </c>
      <c r="B25" s="19" t="s">
        <v>267</v>
      </c>
      <c r="C25" s="11" t="s">
        <v>66</v>
      </c>
      <c r="D25" s="14" t="s">
        <v>35</v>
      </c>
      <c r="E25" s="44">
        <v>1</v>
      </c>
      <c r="F25" s="15">
        <f>35.2</f>
        <v>35.200000000000003</v>
      </c>
      <c r="G25" s="15"/>
      <c r="H25" s="15"/>
      <c r="I25" s="8"/>
      <c r="J25" s="8"/>
      <c r="K25" s="9"/>
      <c r="L25" s="9"/>
      <c r="M25" s="9"/>
      <c r="N25" s="9" t="e">
        <f t="shared" si="7"/>
        <v>#DIV/0!</v>
      </c>
      <c r="O25" s="13" t="e">
        <f t="shared" si="8"/>
        <v>#DIV/0!</v>
      </c>
      <c r="P25" s="13" t="e">
        <f t="shared" si="2"/>
        <v>#DIV/0!</v>
      </c>
      <c r="Q25" s="13" t="e">
        <f t="shared" si="3"/>
        <v>#DIV/0!</v>
      </c>
      <c r="R25" s="9">
        <f t="shared" si="9"/>
        <v>35.200000000000003</v>
      </c>
      <c r="S25" s="13">
        <f t="shared" si="10"/>
        <v>35.200000000000003</v>
      </c>
      <c r="T25" s="13">
        <f t="shared" si="11"/>
        <v>35.200000000000003</v>
      </c>
    </row>
    <row r="26" spans="1:20" ht="23.25" customHeight="1" thickBot="1" x14ac:dyDescent="0.3">
      <c r="A26" s="14" t="s">
        <v>48</v>
      </c>
      <c r="B26" s="19" t="s">
        <v>36</v>
      </c>
      <c r="C26" s="11" t="s">
        <v>37</v>
      </c>
      <c r="D26" s="14" t="s">
        <v>35</v>
      </c>
      <c r="E26" s="44">
        <v>2</v>
      </c>
      <c r="F26" s="15"/>
      <c r="G26" s="15"/>
      <c r="H26" s="15"/>
      <c r="I26" s="50">
        <v>2.75</v>
      </c>
      <c r="J26" s="8"/>
      <c r="K26" s="9"/>
      <c r="L26" s="9"/>
      <c r="M26" s="9"/>
      <c r="N26" s="9">
        <f t="shared" si="7"/>
        <v>2.75</v>
      </c>
      <c r="O26" s="13">
        <f t="shared" si="8"/>
        <v>0</v>
      </c>
      <c r="P26" s="13">
        <f t="shared" si="2"/>
        <v>2.75</v>
      </c>
      <c r="Q26" s="13">
        <f t="shared" si="3"/>
        <v>2.75</v>
      </c>
      <c r="R26" s="9">
        <f t="shared" si="9"/>
        <v>2.75</v>
      </c>
      <c r="S26" s="13">
        <f t="shared" si="10"/>
        <v>2.75</v>
      </c>
      <c r="T26" s="9">
        <f t="shared" si="11"/>
        <v>5.5</v>
      </c>
    </row>
    <row r="27" spans="1:20" ht="21" customHeight="1" thickBot="1" x14ac:dyDescent="0.3">
      <c r="A27" s="7" t="s">
        <v>49</v>
      </c>
      <c r="B27" s="19" t="s">
        <v>268</v>
      </c>
      <c r="C27" s="11" t="s">
        <v>67</v>
      </c>
      <c r="D27" s="14" t="s">
        <v>35</v>
      </c>
      <c r="E27" s="14">
        <v>1</v>
      </c>
      <c r="F27" s="15"/>
      <c r="G27" s="15"/>
      <c r="H27" s="15">
        <f>101.07</f>
        <v>101.07</v>
      </c>
      <c r="I27" s="8"/>
      <c r="J27" s="8"/>
      <c r="K27" s="9"/>
      <c r="L27" s="9"/>
      <c r="M27" s="9"/>
      <c r="N27" s="9" t="e">
        <f t="shared" si="7"/>
        <v>#DIV/0!</v>
      </c>
      <c r="O27" s="13" t="e">
        <f t="shared" si="8"/>
        <v>#DIV/0!</v>
      </c>
      <c r="P27" s="13" t="e">
        <f t="shared" si="2"/>
        <v>#DIV/0!</v>
      </c>
      <c r="Q27" s="13" t="e">
        <f t="shared" si="3"/>
        <v>#DIV/0!</v>
      </c>
      <c r="R27" s="9">
        <f t="shared" si="9"/>
        <v>101.07</v>
      </c>
      <c r="S27" s="13">
        <f t="shared" si="10"/>
        <v>101.07</v>
      </c>
      <c r="T27" s="9">
        <f t="shared" si="11"/>
        <v>101.07</v>
      </c>
    </row>
    <row r="28" spans="1:20" ht="22.5" customHeight="1" thickBot="1" x14ac:dyDescent="0.3">
      <c r="A28" s="7" t="s">
        <v>50</v>
      </c>
      <c r="B28" s="19" t="s">
        <v>269</v>
      </c>
      <c r="C28" s="11" t="s">
        <v>68</v>
      </c>
      <c r="D28" s="14" t="s">
        <v>35</v>
      </c>
      <c r="E28" s="14">
        <v>2</v>
      </c>
      <c r="F28" s="15"/>
      <c r="G28" s="15"/>
      <c r="H28" s="15">
        <f>12.18</f>
        <v>12.18</v>
      </c>
      <c r="I28" s="10"/>
      <c r="J28" s="8"/>
      <c r="K28" s="9"/>
      <c r="L28" s="9"/>
      <c r="M28" s="9"/>
      <c r="N28" s="9" t="e">
        <f t="shared" si="7"/>
        <v>#DIV/0!</v>
      </c>
      <c r="O28" s="13" t="e">
        <f t="shared" si="8"/>
        <v>#DIV/0!</v>
      </c>
      <c r="P28" s="13" t="e">
        <f t="shared" si="2"/>
        <v>#DIV/0!</v>
      </c>
      <c r="Q28" s="13" t="e">
        <f t="shared" si="3"/>
        <v>#DIV/0!</v>
      </c>
      <c r="R28" s="9">
        <f t="shared" si="9"/>
        <v>12.18</v>
      </c>
      <c r="S28" s="13">
        <f t="shared" si="10"/>
        <v>12.18</v>
      </c>
      <c r="T28" s="9">
        <f t="shared" si="11"/>
        <v>24.36</v>
      </c>
    </row>
    <row r="29" spans="1:20" ht="21.75" customHeight="1" thickBot="1" x14ac:dyDescent="0.3">
      <c r="A29" s="7" t="s">
        <v>51</v>
      </c>
      <c r="B29" s="19" t="s">
        <v>270</v>
      </c>
      <c r="C29" s="11" t="s">
        <v>69</v>
      </c>
      <c r="D29" s="14" t="s">
        <v>35</v>
      </c>
      <c r="E29" s="14">
        <v>1</v>
      </c>
      <c r="F29" s="15">
        <f>1.22</f>
        <v>1.22</v>
      </c>
      <c r="G29" s="15"/>
      <c r="H29" s="15"/>
      <c r="I29" s="8"/>
      <c r="J29" s="8"/>
      <c r="K29" s="9"/>
      <c r="L29" s="9"/>
      <c r="M29" s="9"/>
      <c r="N29" s="9" t="e">
        <f t="shared" si="7"/>
        <v>#DIV/0!</v>
      </c>
      <c r="O29" s="13" t="e">
        <f t="shared" si="8"/>
        <v>#DIV/0!</v>
      </c>
      <c r="P29" s="13" t="e">
        <f t="shared" si="2"/>
        <v>#DIV/0!</v>
      </c>
      <c r="Q29" s="13" t="e">
        <f t="shared" si="3"/>
        <v>#DIV/0!</v>
      </c>
      <c r="R29" s="9">
        <f t="shared" si="9"/>
        <v>1.22</v>
      </c>
      <c r="S29" s="13">
        <f t="shared" si="10"/>
        <v>1.22</v>
      </c>
      <c r="T29" s="9">
        <f t="shared" si="11"/>
        <v>1.22</v>
      </c>
    </row>
    <row r="30" spans="1:20" ht="25.5" customHeight="1" thickBot="1" x14ac:dyDescent="0.3">
      <c r="A30" s="7" t="s">
        <v>52</v>
      </c>
      <c r="B30" s="19" t="s">
        <v>271</v>
      </c>
      <c r="C30" s="11" t="s">
        <v>70</v>
      </c>
      <c r="D30" s="14" t="s">
        <v>35</v>
      </c>
      <c r="E30" s="14">
        <v>1</v>
      </c>
      <c r="F30" s="15">
        <f>6.4</f>
        <v>6.4</v>
      </c>
      <c r="G30" s="15"/>
      <c r="H30" s="15"/>
      <c r="I30" s="8"/>
      <c r="J30" s="8"/>
      <c r="K30" s="9"/>
      <c r="L30" s="9"/>
      <c r="M30" s="9"/>
      <c r="N30" s="9" t="e">
        <f t="shared" si="7"/>
        <v>#DIV/0!</v>
      </c>
      <c r="O30" s="13" t="e">
        <f t="shared" si="8"/>
        <v>#DIV/0!</v>
      </c>
      <c r="P30" s="13" t="e">
        <f t="shared" si="2"/>
        <v>#DIV/0!</v>
      </c>
      <c r="Q30" s="13" t="e">
        <f t="shared" si="3"/>
        <v>#DIV/0!</v>
      </c>
      <c r="R30" s="9">
        <f t="shared" si="9"/>
        <v>6.4</v>
      </c>
      <c r="S30" s="13">
        <f t="shared" si="10"/>
        <v>6.4</v>
      </c>
      <c r="T30" s="9">
        <f t="shared" si="11"/>
        <v>6.4</v>
      </c>
    </row>
    <row r="31" spans="1:20" ht="26.25" customHeight="1" thickBot="1" x14ac:dyDescent="0.3">
      <c r="A31" s="7" t="s">
        <v>53</v>
      </c>
      <c r="B31" s="19" t="s">
        <v>272</v>
      </c>
      <c r="C31" s="11" t="s">
        <v>71</v>
      </c>
      <c r="D31" s="14" t="s">
        <v>35</v>
      </c>
      <c r="E31" s="14">
        <v>1</v>
      </c>
      <c r="F31" s="15">
        <f>104.89</f>
        <v>104.89</v>
      </c>
      <c r="G31" s="15"/>
      <c r="H31" s="15"/>
      <c r="I31" s="8"/>
      <c r="J31" s="8"/>
      <c r="K31" s="9"/>
      <c r="L31" s="9"/>
      <c r="M31" s="9"/>
      <c r="N31" s="9" t="e">
        <f t="shared" si="7"/>
        <v>#DIV/0!</v>
      </c>
      <c r="O31" s="13" t="e">
        <f t="shared" si="8"/>
        <v>#DIV/0!</v>
      </c>
      <c r="P31" s="13" t="e">
        <f t="shared" si="2"/>
        <v>#DIV/0!</v>
      </c>
      <c r="Q31" s="13" t="e">
        <f t="shared" si="3"/>
        <v>#DIV/0!</v>
      </c>
      <c r="R31" s="9">
        <f t="shared" si="9"/>
        <v>104.89</v>
      </c>
      <c r="S31" s="13">
        <f t="shared" si="10"/>
        <v>104.89</v>
      </c>
      <c r="T31" s="9">
        <f t="shared" si="11"/>
        <v>104.89</v>
      </c>
    </row>
    <row r="32" spans="1:20" ht="21.75" customHeight="1" thickBot="1" x14ac:dyDescent="0.3">
      <c r="A32" s="14" t="s">
        <v>54</v>
      </c>
      <c r="B32" s="19" t="s">
        <v>72</v>
      </c>
      <c r="C32" s="11" t="s">
        <v>73</v>
      </c>
      <c r="D32" s="14" t="s">
        <v>35</v>
      </c>
      <c r="E32" s="14">
        <v>1</v>
      </c>
      <c r="F32" s="15"/>
      <c r="G32" s="15"/>
      <c r="H32" s="15"/>
      <c r="I32" s="51">
        <v>26.6</v>
      </c>
      <c r="J32" s="8"/>
      <c r="K32" s="9"/>
      <c r="L32" s="9"/>
      <c r="M32" s="9"/>
      <c r="N32" s="9">
        <f t="shared" si="7"/>
        <v>26.6</v>
      </c>
      <c r="O32" s="13">
        <f t="shared" si="8"/>
        <v>0</v>
      </c>
      <c r="P32" s="13">
        <f t="shared" si="2"/>
        <v>26.6</v>
      </c>
      <c r="Q32" s="13">
        <f t="shared" si="3"/>
        <v>26.6</v>
      </c>
      <c r="R32" s="9">
        <f t="shared" si="9"/>
        <v>26.6</v>
      </c>
      <c r="S32" s="13">
        <f t="shared" si="10"/>
        <v>26.6</v>
      </c>
      <c r="T32" s="9">
        <f t="shared" si="11"/>
        <v>26.6</v>
      </c>
    </row>
    <row r="33" spans="1:20" ht="37.5" customHeight="1" thickBot="1" x14ac:dyDescent="0.3">
      <c r="A33" s="7" t="s">
        <v>55</v>
      </c>
      <c r="B33" s="19" t="s">
        <v>273</v>
      </c>
      <c r="C33" s="11" t="s">
        <v>74</v>
      </c>
      <c r="D33" s="14" t="s">
        <v>32</v>
      </c>
      <c r="E33" s="14">
        <v>75</v>
      </c>
      <c r="F33" s="15">
        <f>2.41</f>
        <v>2.41</v>
      </c>
      <c r="G33" s="15"/>
      <c r="H33" s="15"/>
      <c r="I33" s="8"/>
      <c r="J33" s="8"/>
      <c r="K33" s="9"/>
      <c r="L33" s="9"/>
      <c r="M33" s="9"/>
      <c r="N33" s="9" t="e">
        <f t="shared" si="7"/>
        <v>#DIV/0!</v>
      </c>
      <c r="O33" s="13" t="e">
        <f t="shared" si="8"/>
        <v>#DIV/0!</v>
      </c>
      <c r="P33" s="13" t="e">
        <f t="shared" si="2"/>
        <v>#DIV/0!</v>
      </c>
      <c r="Q33" s="13" t="e">
        <f t="shared" si="3"/>
        <v>#DIV/0!</v>
      </c>
      <c r="R33" s="9">
        <f t="shared" si="9"/>
        <v>2.41</v>
      </c>
      <c r="S33" s="13">
        <f t="shared" si="10"/>
        <v>2.41</v>
      </c>
      <c r="T33" s="9">
        <f t="shared" si="11"/>
        <v>180.75</v>
      </c>
    </row>
    <row r="34" spans="1:20" ht="24" customHeight="1" thickBot="1" x14ac:dyDescent="0.3">
      <c r="A34" s="7" t="s">
        <v>56</v>
      </c>
      <c r="B34" s="19" t="s">
        <v>274</v>
      </c>
      <c r="C34" s="11" t="s">
        <v>75</v>
      </c>
      <c r="D34" s="14" t="s">
        <v>35</v>
      </c>
      <c r="E34" s="14">
        <v>1</v>
      </c>
      <c r="F34" s="15"/>
      <c r="G34" s="15"/>
      <c r="H34" s="15">
        <f>237</f>
        <v>237</v>
      </c>
      <c r="I34" s="8"/>
      <c r="J34" s="8"/>
      <c r="K34" s="9"/>
      <c r="L34" s="9"/>
      <c r="M34" s="9"/>
      <c r="N34" s="9" t="e">
        <f t="shared" si="7"/>
        <v>#DIV/0!</v>
      </c>
      <c r="O34" s="13" t="e">
        <f t="shared" si="8"/>
        <v>#DIV/0!</v>
      </c>
      <c r="P34" s="13" t="e">
        <f t="shared" si="2"/>
        <v>#DIV/0!</v>
      </c>
      <c r="Q34" s="13" t="e">
        <f t="shared" si="3"/>
        <v>#DIV/0!</v>
      </c>
      <c r="R34" s="9">
        <f t="shared" si="9"/>
        <v>237</v>
      </c>
      <c r="S34" s="13">
        <f t="shared" si="10"/>
        <v>237</v>
      </c>
      <c r="T34" s="9">
        <f t="shared" si="11"/>
        <v>237</v>
      </c>
    </row>
    <row r="35" spans="1:20" ht="24" customHeight="1" thickBot="1" x14ac:dyDescent="0.3">
      <c r="A35" s="14" t="s">
        <v>57</v>
      </c>
      <c r="B35" s="19" t="s">
        <v>76</v>
      </c>
      <c r="C35" s="11" t="s">
        <v>77</v>
      </c>
      <c r="D35" s="14" t="s">
        <v>35</v>
      </c>
      <c r="E35" s="14">
        <v>1</v>
      </c>
      <c r="F35" s="15">
        <v>10.54</v>
      </c>
      <c r="G35" s="15"/>
      <c r="H35" s="15"/>
      <c r="I35" s="15"/>
      <c r="J35" s="8"/>
      <c r="K35" s="9"/>
      <c r="L35" s="9"/>
      <c r="M35" s="9"/>
      <c r="N35" s="9" t="e">
        <f t="shared" si="7"/>
        <v>#DIV/0!</v>
      </c>
      <c r="O35" s="13" t="e">
        <f t="shared" si="8"/>
        <v>#DIV/0!</v>
      </c>
      <c r="P35" s="13" t="e">
        <f t="shared" si="2"/>
        <v>#DIV/0!</v>
      </c>
      <c r="Q35" s="13" t="e">
        <f t="shared" si="3"/>
        <v>#DIV/0!</v>
      </c>
      <c r="R35" s="9">
        <f t="shared" si="9"/>
        <v>10.54</v>
      </c>
      <c r="S35" s="13">
        <f t="shared" si="10"/>
        <v>10.54</v>
      </c>
      <c r="T35" s="9">
        <f t="shared" si="11"/>
        <v>10.54</v>
      </c>
    </row>
    <row r="36" spans="1:20" ht="25.5" customHeight="1" thickBot="1" x14ac:dyDescent="0.3">
      <c r="A36" s="14" t="s">
        <v>58</v>
      </c>
      <c r="B36" s="19" t="s">
        <v>78</v>
      </c>
      <c r="C36" s="11" t="s">
        <v>79</v>
      </c>
      <c r="D36" s="14" t="s">
        <v>35</v>
      </c>
      <c r="E36" s="14">
        <v>1</v>
      </c>
      <c r="F36" s="15"/>
      <c r="G36" s="15"/>
      <c r="H36" s="15">
        <v>10.8</v>
      </c>
      <c r="I36" s="15"/>
      <c r="J36" s="8"/>
      <c r="K36" s="9"/>
      <c r="L36" s="9"/>
      <c r="M36" s="9"/>
      <c r="N36" s="9" t="e">
        <f t="shared" si="7"/>
        <v>#DIV/0!</v>
      </c>
      <c r="O36" s="13" t="e">
        <f t="shared" si="8"/>
        <v>#DIV/0!</v>
      </c>
      <c r="P36" s="13" t="e">
        <f t="shared" si="2"/>
        <v>#DIV/0!</v>
      </c>
      <c r="Q36" s="13" t="e">
        <f t="shared" si="3"/>
        <v>#DIV/0!</v>
      </c>
      <c r="R36" s="9">
        <f t="shared" si="9"/>
        <v>10.8</v>
      </c>
      <c r="S36" s="13">
        <f t="shared" si="10"/>
        <v>10.8</v>
      </c>
      <c r="T36" s="9">
        <f t="shared" si="11"/>
        <v>10.8</v>
      </c>
    </row>
    <row r="37" spans="1:20" ht="18" customHeight="1" thickBot="1" x14ac:dyDescent="0.3">
      <c r="A37" s="57" t="s">
        <v>59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9"/>
    </row>
    <row r="38" spans="1:20" ht="25.5" customHeight="1" thickBot="1" x14ac:dyDescent="0.3">
      <c r="A38" s="7" t="s">
        <v>80</v>
      </c>
      <c r="B38" s="19" t="s">
        <v>258</v>
      </c>
      <c r="C38" s="11" t="s">
        <v>31</v>
      </c>
      <c r="D38" s="14" t="s">
        <v>32</v>
      </c>
      <c r="E38" s="14">
        <v>162</v>
      </c>
      <c r="F38" s="15"/>
      <c r="G38" s="15"/>
      <c r="H38" s="15">
        <f>19.96</f>
        <v>19.96</v>
      </c>
      <c r="I38" s="8"/>
      <c r="J38" s="8"/>
      <c r="K38" s="9"/>
      <c r="L38" s="9"/>
      <c r="M38" s="9"/>
      <c r="N38" s="9" t="e">
        <f>AVERAGE(I38:M38)</f>
        <v>#DIV/0!</v>
      </c>
      <c r="O38" s="13" t="e">
        <f>STDEVPA(I38:M38)</f>
        <v>#DIV/0!</v>
      </c>
      <c r="P38" s="13" t="e">
        <f t="shared" si="2"/>
        <v>#DIV/0!</v>
      </c>
      <c r="Q38" s="13" t="e">
        <f t="shared" si="3"/>
        <v>#DIV/0!</v>
      </c>
      <c r="R38" s="9">
        <f>IF(F38&gt;0,F38,IF(G38&gt;0,G38,IF(H38&gt;0,H38,AVERAGEIFS(I38:M38,I38:M38,"&gt;="&amp;Q38,I38:M38,"&lt;="&amp;P38))))</f>
        <v>19.96</v>
      </c>
      <c r="S38" s="13">
        <f>IF(F38&gt;0,F38,IF(G38&gt;0,G38,IF(H38&gt;0,H38,MEDIAN(I38:M38))))</f>
        <v>19.96</v>
      </c>
      <c r="T38" s="9">
        <f>IF(R38&gt;S38,S38*E38,R38*E38)</f>
        <v>3233.52</v>
      </c>
    </row>
    <row r="39" spans="1:20" ht="24.75" customHeight="1" thickBot="1" x14ac:dyDescent="0.3">
      <c r="A39" s="7" t="s">
        <v>81</v>
      </c>
      <c r="B39" s="19" t="s">
        <v>275</v>
      </c>
      <c r="C39" s="11" t="s">
        <v>102</v>
      </c>
      <c r="D39" s="14" t="s">
        <v>35</v>
      </c>
      <c r="E39" s="14">
        <v>3</v>
      </c>
      <c r="F39" s="15"/>
      <c r="G39" s="15"/>
      <c r="H39" s="15">
        <f>22.53</f>
        <v>22.53</v>
      </c>
      <c r="I39" s="8"/>
      <c r="J39" s="8"/>
      <c r="K39" s="9"/>
      <c r="L39" s="9"/>
      <c r="M39" s="9"/>
      <c r="N39" s="9" t="e">
        <f>AVERAGE(I39:M39)</f>
        <v>#DIV/0!</v>
      </c>
      <c r="O39" s="13" t="e">
        <f>STDEVPA(I39:M39)</f>
        <v>#DIV/0!</v>
      </c>
      <c r="P39" s="13" t="e">
        <f t="shared" si="2"/>
        <v>#DIV/0!</v>
      </c>
      <c r="Q39" s="13" t="e">
        <f t="shared" si="3"/>
        <v>#DIV/0!</v>
      </c>
      <c r="R39" s="9">
        <f>IF(F39&gt;0,F39,IF(G39&gt;0,G39,IF(H39&gt;0,H39,AVERAGEIFS(I39:M39,I39:M39,"&gt;="&amp;Q39,I39:M39,"&lt;="&amp;P39))))</f>
        <v>22.53</v>
      </c>
      <c r="S39" s="13">
        <f>IF(F39&gt;0,F39,IF(G39&gt;0,G39,IF(H39&gt;0,H39,MEDIAN(I39:M39))))</f>
        <v>22.53</v>
      </c>
      <c r="T39" s="9">
        <f>IF(R39&gt;S39,S39*E39,R39*E39)</f>
        <v>67.59</v>
      </c>
    </row>
    <row r="40" spans="1:20" ht="22.5" customHeight="1" thickBot="1" x14ac:dyDescent="0.3">
      <c r="A40" s="57" t="s">
        <v>82</v>
      </c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9"/>
    </row>
    <row r="41" spans="1:20" ht="28.5" customHeight="1" thickBot="1" x14ac:dyDescent="0.3">
      <c r="A41" s="7" t="s">
        <v>83</v>
      </c>
      <c r="B41" s="19" t="s">
        <v>258</v>
      </c>
      <c r="C41" s="11" t="s">
        <v>31</v>
      </c>
      <c r="D41" s="14" t="s">
        <v>32</v>
      </c>
      <c r="E41" s="14">
        <v>105</v>
      </c>
      <c r="F41" s="15"/>
      <c r="G41" s="15"/>
      <c r="H41" s="15">
        <f>19.96</f>
        <v>19.96</v>
      </c>
      <c r="I41" s="8"/>
      <c r="J41" s="8"/>
      <c r="K41" s="9"/>
      <c r="L41" s="9"/>
      <c r="M41" s="9"/>
      <c r="N41" s="9" t="e">
        <f t="shared" ref="N41:N49" si="12">AVERAGE(I41:M41)</f>
        <v>#DIV/0!</v>
      </c>
      <c r="O41" s="13" t="e">
        <f t="shared" ref="O41:O49" si="13">STDEVPA(I41:M41)</f>
        <v>#DIV/0!</v>
      </c>
      <c r="P41" s="13" t="e">
        <f t="shared" si="2"/>
        <v>#DIV/0!</v>
      </c>
      <c r="Q41" s="13" t="e">
        <f t="shared" si="3"/>
        <v>#DIV/0!</v>
      </c>
      <c r="R41" s="9">
        <f t="shared" ref="R41:R49" si="14">IF(F41&gt;0,F41,IF(G41&gt;0,G41,IF(H41&gt;0,H41,AVERAGEIFS(I41:M41,I41:M41,"&gt;="&amp;Q41,I41:M41,"&lt;="&amp;P41))))</f>
        <v>19.96</v>
      </c>
      <c r="S41" s="13">
        <f t="shared" ref="S41:S49" si="15">IF(F41&gt;0,F41,IF(G41&gt;0,G41,IF(H41&gt;0,H41,MEDIAN(I41:M41))))</f>
        <v>19.96</v>
      </c>
      <c r="T41" s="9">
        <f t="shared" ref="T41:T49" si="16">IF(R41&gt;S41,S41*E41,R41*E41)</f>
        <v>2095.8000000000002</v>
      </c>
    </row>
    <row r="42" spans="1:20" ht="24.75" customHeight="1" thickBot="1" x14ac:dyDescent="0.3">
      <c r="A42" s="7" t="s">
        <v>84</v>
      </c>
      <c r="B42" s="19" t="s">
        <v>261</v>
      </c>
      <c r="C42" s="11" t="s">
        <v>38</v>
      </c>
      <c r="D42" s="14" t="s">
        <v>35</v>
      </c>
      <c r="E42" s="14">
        <v>7</v>
      </c>
      <c r="F42" s="15"/>
      <c r="G42" s="15"/>
      <c r="H42" s="15">
        <f>16.55</f>
        <v>16.55</v>
      </c>
      <c r="I42" s="8"/>
      <c r="J42" s="8"/>
      <c r="K42" s="9"/>
      <c r="L42" s="9"/>
      <c r="M42" s="9"/>
      <c r="N42" s="9" t="e">
        <f t="shared" si="12"/>
        <v>#DIV/0!</v>
      </c>
      <c r="O42" s="13" t="e">
        <f t="shared" si="13"/>
        <v>#DIV/0!</v>
      </c>
      <c r="P42" s="13" t="e">
        <f t="shared" si="2"/>
        <v>#DIV/0!</v>
      </c>
      <c r="Q42" s="13" t="e">
        <f t="shared" si="3"/>
        <v>#DIV/0!</v>
      </c>
      <c r="R42" s="9">
        <f t="shared" si="14"/>
        <v>16.55</v>
      </c>
      <c r="S42" s="13">
        <f t="shared" si="15"/>
        <v>16.55</v>
      </c>
      <c r="T42" s="9">
        <f t="shared" si="16"/>
        <v>115.85000000000001</v>
      </c>
    </row>
    <row r="43" spans="1:20" ht="24.75" customHeight="1" thickBot="1" x14ac:dyDescent="0.3">
      <c r="A43" s="7" t="s">
        <v>85</v>
      </c>
      <c r="B43" s="19" t="s">
        <v>267</v>
      </c>
      <c r="C43" s="11" t="s">
        <v>66</v>
      </c>
      <c r="D43" s="14" t="s">
        <v>35</v>
      </c>
      <c r="E43" s="14">
        <v>5</v>
      </c>
      <c r="F43" s="15">
        <f>35.2</f>
        <v>35.200000000000003</v>
      </c>
      <c r="G43" s="15"/>
      <c r="H43" s="15"/>
      <c r="I43" s="8"/>
      <c r="J43" s="8"/>
      <c r="K43" s="9"/>
      <c r="L43" s="9"/>
      <c r="M43" s="9"/>
      <c r="N43" s="9" t="e">
        <f t="shared" si="12"/>
        <v>#DIV/0!</v>
      </c>
      <c r="O43" s="13" t="e">
        <f t="shared" si="13"/>
        <v>#DIV/0!</v>
      </c>
      <c r="P43" s="13" t="e">
        <f t="shared" si="2"/>
        <v>#DIV/0!</v>
      </c>
      <c r="Q43" s="13" t="e">
        <f t="shared" si="3"/>
        <v>#DIV/0!</v>
      </c>
      <c r="R43" s="9">
        <f t="shared" si="14"/>
        <v>35.200000000000003</v>
      </c>
      <c r="S43" s="13">
        <f t="shared" si="15"/>
        <v>35.200000000000003</v>
      </c>
      <c r="T43" s="9">
        <f t="shared" si="16"/>
        <v>176</v>
      </c>
    </row>
    <row r="44" spans="1:20" ht="27" customHeight="1" thickBot="1" x14ac:dyDescent="0.3">
      <c r="A44" s="7" t="s">
        <v>86</v>
      </c>
      <c r="B44" s="19" t="s">
        <v>276</v>
      </c>
      <c r="C44" s="11" t="s">
        <v>103</v>
      </c>
      <c r="D44" s="14" t="s">
        <v>35</v>
      </c>
      <c r="E44" s="14">
        <v>9</v>
      </c>
      <c r="F44" s="15"/>
      <c r="G44" s="15"/>
      <c r="H44" s="15">
        <f>16.82</f>
        <v>16.82</v>
      </c>
      <c r="I44" s="8"/>
      <c r="J44" s="8"/>
      <c r="K44" s="9"/>
      <c r="L44" s="9"/>
      <c r="M44" s="9"/>
      <c r="N44" s="9" t="e">
        <f t="shared" si="12"/>
        <v>#DIV/0!</v>
      </c>
      <c r="O44" s="13" t="e">
        <f t="shared" si="13"/>
        <v>#DIV/0!</v>
      </c>
      <c r="P44" s="13" t="e">
        <f t="shared" si="2"/>
        <v>#DIV/0!</v>
      </c>
      <c r="Q44" s="13" t="e">
        <f t="shared" si="3"/>
        <v>#DIV/0!</v>
      </c>
      <c r="R44" s="9">
        <f t="shared" si="14"/>
        <v>16.82</v>
      </c>
      <c r="S44" s="13">
        <f t="shared" si="15"/>
        <v>16.82</v>
      </c>
      <c r="T44" s="9">
        <f t="shared" si="16"/>
        <v>151.38</v>
      </c>
    </row>
    <row r="45" spans="1:20" ht="28.5" customHeight="1" thickBot="1" x14ac:dyDescent="0.3">
      <c r="A45" s="7" t="s">
        <v>87</v>
      </c>
      <c r="B45" s="19" t="s">
        <v>277</v>
      </c>
      <c r="C45" s="11" t="s">
        <v>104</v>
      </c>
      <c r="D45" s="14" t="s">
        <v>35</v>
      </c>
      <c r="E45" s="14">
        <v>10</v>
      </c>
      <c r="F45" s="15">
        <f>6.47</f>
        <v>6.47</v>
      </c>
      <c r="G45" s="15"/>
      <c r="H45" s="15"/>
      <c r="I45" s="8"/>
      <c r="J45" s="8"/>
      <c r="K45" s="9"/>
      <c r="L45" s="9"/>
      <c r="M45" s="9"/>
      <c r="N45" s="9" t="e">
        <f t="shared" si="12"/>
        <v>#DIV/0!</v>
      </c>
      <c r="O45" s="13" t="e">
        <f t="shared" si="13"/>
        <v>#DIV/0!</v>
      </c>
      <c r="P45" s="13" t="e">
        <f t="shared" si="2"/>
        <v>#DIV/0!</v>
      </c>
      <c r="Q45" s="13" t="e">
        <f t="shared" si="3"/>
        <v>#DIV/0!</v>
      </c>
      <c r="R45" s="9">
        <f t="shared" si="14"/>
        <v>6.47</v>
      </c>
      <c r="S45" s="13">
        <f t="shared" si="15"/>
        <v>6.47</v>
      </c>
      <c r="T45" s="9">
        <f t="shared" si="16"/>
        <v>64.7</v>
      </c>
    </row>
    <row r="46" spans="1:20" ht="24" customHeight="1" thickBot="1" x14ac:dyDescent="0.3">
      <c r="A46" s="14" t="s">
        <v>88</v>
      </c>
      <c r="B46" s="19" t="s">
        <v>105</v>
      </c>
      <c r="C46" s="11" t="s">
        <v>106</v>
      </c>
      <c r="D46" s="14" t="s">
        <v>35</v>
      </c>
      <c r="E46" s="14">
        <v>5</v>
      </c>
      <c r="F46" s="15"/>
      <c r="G46" s="15"/>
      <c r="H46" s="15"/>
      <c r="I46" s="51">
        <v>1.28</v>
      </c>
      <c r="J46" s="8"/>
      <c r="K46" s="9"/>
      <c r="L46" s="9"/>
      <c r="M46" s="9"/>
      <c r="N46" s="9">
        <f t="shared" si="12"/>
        <v>1.28</v>
      </c>
      <c r="O46" s="13">
        <f t="shared" si="13"/>
        <v>0</v>
      </c>
      <c r="P46" s="13">
        <f t="shared" si="2"/>
        <v>1.28</v>
      </c>
      <c r="Q46" s="13">
        <f t="shared" si="3"/>
        <v>1.28</v>
      </c>
      <c r="R46" s="9">
        <f t="shared" si="14"/>
        <v>1.28</v>
      </c>
      <c r="S46" s="13">
        <f t="shared" si="15"/>
        <v>1.28</v>
      </c>
      <c r="T46" s="9">
        <f t="shared" si="16"/>
        <v>6.4</v>
      </c>
    </row>
    <row r="47" spans="1:20" ht="23.25" customHeight="1" thickBot="1" x14ac:dyDescent="0.3">
      <c r="A47" s="14" t="s">
        <v>89</v>
      </c>
      <c r="B47" s="19" t="s">
        <v>72</v>
      </c>
      <c r="C47" s="11" t="s">
        <v>73</v>
      </c>
      <c r="D47" s="14" t="s">
        <v>35</v>
      </c>
      <c r="E47" s="14">
        <v>5</v>
      </c>
      <c r="F47" s="15"/>
      <c r="G47" s="15"/>
      <c r="H47" s="15"/>
      <c r="I47" s="51">
        <v>26.6</v>
      </c>
      <c r="J47" s="8"/>
      <c r="K47" s="9"/>
      <c r="L47" s="9"/>
      <c r="M47" s="9"/>
      <c r="N47" s="9">
        <f t="shared" si="12"/>
        <v>26.6</v>
      </c>
      <c r="O47" s="13">
        <f t="shared" si="13"/>
        <v>0</v>
      </c>
      <c r="P47" s="13">
        <f t="shared" ref="P47:P59" si="17">N47+O47</f>
        <v>26.6</v>
      </c>
      <c r="Q47" s="13">
        <f t="shared" ref="Q47:Q59" si="18">N47-O47</f>
        <v>26.6</v>
      </c>
      <c r="R47" s="9">
        <f t="shared" si="14"/>
        <v>26.6</v>
      </c>
      <c r="S47" s="13">
        <f t="shared" si="15"/>
        <v>26.6</v>
      </c>
      <c r="T47" s="9">
        <f t="shared" si="16"/>
        <v>133</v>
      </c>
    </row>
    <row r="48" spans="1:20" ht="21.75" customHeight="1" thickBot="1" x14ac:dyDescent="0.3">
      <c r="A48" s="7" t="s">
        <v>90</v>
      </c>
      <c r="B48" s="19" t="s">
        <v>278</v>
      </c>
      <c r="C48" s="11" t="s">
        <v>108</v>
      </c>
      <c r="D48" s="14" t="s">
        <v>35</v>
      </c>
      <c r="E48" s="14">
        <v>10</v>
      </c>
      <c r="F48" s="15">
        <f>10.59</f>
        <v>10.59</v>
      </c>
      <c r="G48" s="15"/>
      <c r="H48" s="15"/>
      <c r="I48" s="8"/>
      <c r="J48" s="8"/>
      <c r="K48" s="9"/>
      <c r="L48" s="9"/>
      <c r="M48" s="9"/>
      <c r="N48" s="9" t="e">
        <f t="shared" si="12"/>
        <v>#DIV/0!</v>
      </c>
      <c r="O48" s="13" t="e">
        <f t="shared" si="13"/>
        <v>#DIV/0!</v>
      </c>
      <c r="P48" s="13" t="e">
        <f t="shared" si="17"/>
        <v>#DIV/0!</v>
      </c>
      <c r="Q48" s="13" t="e">
        <f t="shared" si="18"/>
        <v>#DIV/0!</v>
      </c>
      <c r="R48" s="9">
        <f t="shared" si="14"/>
        <v>10.59</v>
      </c>
      <c r="S48" s="13">
        <f t="shared" si="15"/>
        <v>10.59</v>
      </c>
      <c r="T48" s="9">
        <f t="shared" si="16"/>
        <v>105.9</v>
      </c>
    </row>
    <row r="49" spans="1:20" ht="24" customHeight="1" thickBot="1" x14ac:dyDescent="0.3">
      <c r="A49" s="7" t="s">
        <v>91</v>
      </c>
      <c r="B49" s="19" t="s">
        <v>279</v>
      </c>
      <c r="C49" s="11" t="s">
        <v>109</v>
      </c>
      <c r="D49" s="14" t="s">
        <v>35</v>
      </c>
      <c r="E49" s="14">
        <v>5</v>
      </c>
      <c r="F49" s="15">
        <f>1.25</f>
        <v>1.25</v>
      </c>
      <c r="G49" s="15"/>
      <c r="H49" s="15"/>
      <c r="I49" s="8"/>
      <c r="J49" s="8"/>
      <c r="K49" s="9"/>
      <c r="L49" s="9"/>
      <c r="M49" s="9"/>
      <c r="N49" s="9" t="e">
        <f t="shared" si="12"/>
        <v>#DIV/0!</v>
      </c>
      <c r="O49" s="13" t="e">
        <f t="shared" si="13"/>
        <v>#DIV/0!</v>
      </c>
      <c r="P49" s="13" t="e">
        <f t="shared" si="17"/>
        <v>#DIV/0!</v>
      </c>
      <c r="Q49" s="13" t="e">
        <f t="shared" si="18"/>
        <v>#DIV/0!</v>
      </c>
      <c r="R49" s="9">
        <f t="shared" si="14"/>
        <v>1.25</v>
      </c>
      <c r="S49" s="13">
        <f t="shared" si="15"/>
        <v>1.25</v>
      </c>
      <c r="T49" s="9">
        <f t="shared" si="16"/>
        <v>6.25</v>
      </c>
    </row>
    <row r="50" spans="1:20" ht="20.25" customHeight="1" thickBot="1" x14ac:dyDescent="0.3">
      <c r="A50" s="57" t="s">
        <v>92</v>
      </c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9"/>
    </row>
    <row r="51" spans="1:20" ht="23.25" customHeight="1" thickBot="1" x14ac:dyDescent="0.3">
      <c r="A51" s="14" t="s">
        <v>159</v>
      </c>
      <c r="B51" s="19" t="s">
        <v>110</v>
      </c>
      <c r="C51" s="11" t="s">
        <v>111</v>
      </c>
      <c r="D51" s="14" t="s">
        <v>32</v>
      </c>
      <c r="E51" s="14">
        <v>870</v>
      </c>
      <c r="F51" s="15"/>
      <c r="G51" s="15"/>
      <c r="H51" s="15"/>
      <c r="I51" s="51">
        <f>15.48/6</f>
        <v>2.58</v>
      </c>
      <c r="J51" s="8"/>
      <c r="K51" s="9"/>
      <c r="L51" s="9"/>
      <c r="M51" s="9"/>
      <c r="N51" s="9">
        <f>AVERAGE(I51:M51)</f>
        <v>2.58</v>
      </c>
      <c r="O51" s="13">
        <f>STDEVPA(I51:M51)</f>
        <v>0</v>
      </c>
      <c r="P51" s="13">
        <f t="shared" si="17"/>
        <v>2.58</v>
      </c>
      <c r="Q51" s="13">
        <f t="shared" si="18"/>
        <v>2.58</v>
      </c>
      <c r="R51" s="9">
        <f>IF(F51&gt;0,F51,IF(G51&gt;0,G51,IF(H51&gt;0,H51,AVERAGEIFS(I51:M51,I51:M51,"&gt;="&amp;Q51,I51:M51,"&lt;="&amp;P51))))</f>
        <v>2.58</v>
      </c>
      <c r="S51" s="13">
        <f>IF(F51&gt;0,F51,IF(G51&gt;0,G51,IF(H51&gt;0,H51,MEDIAN(I51:M51))))</f>
        <v>2.58</v>
      </c>
      <c r="T51" s="9">
        <f>IF(R51&gt;S51,S51*E51,R51*E51)</f>
        <v>2244.6</v>
      </c>
    </row>
    <row r="52" spans="1:20" ht="20.25" customHeight="1" thickBot="1" x14ac:dyDescent="0.3">
      <c r="A52" s="7" t="s">
        <v>94</v>
      </c>
      <c r="B52" s="19" t="s">
        <v>279</v>
      </c>
      <c r="C52" s="11" t="s">
        <v>109</v>
      </c>
      <c r="D52" s="14" t="s">
        <v>35</v>
      </c>
      <c r="E52" s="14">
        <v>50</v>
      </c>
      <c r="F52" s="15">
        <f>1.25</f>
        <v>1.25</v>
      </c>
      <c r="G52" s="15"/>
      <c r="H52" s="15"/>
      <c r="I52" s="8"/>
      <c r="J52" s="8"/>
      <c r="K52" s="9"/>
      <c r="L52" s="9"/>
      <c r="M52" s="9"/>
      <c r="N52" s="9" t="e">
        <f>AVERAGE(I52:M52)</f>
        <v>#DIV/0!</v>
      </c>
      <c r="O52" s="13" t="e">
        <f>STDEVPA(I52:M52)</f>
        <v>#DIV/0!</v>
      </c>
      <c r="P52" s="13" t="e">
        <f t="shared" si="17"/>
        <v>#DIV/0!</v>
      </c>
      <c r="Q52" s="13" t="e">
        <f t="shared" si="18"/>
        <v>#DIV/0!</v>
      </c>
      <c r="R52" s="9">
        <f>IF(F52&gt;0,F52,IF(G52&gt;0,G52,IF(H52&gt;0,H52,AVERAGEIFS(I52:M52,I52:M52,"&gt;="&amp;Q52,I52:M52,"&lt;="&amp;P52))))</f>
        <v>1.25</v>
      </c>
      <c r="S52" s="13">
        <f>IF(F52&gt;0,F52,IF(G52&gt;0,G52,IF(H52&gt;0,H52,MEDIAN(I52:M52))))</f>
        <v>1.25</v>
      </c>
      <c r="T52" s="9">
        <f>IF(R52&gt;S52,S52*E52,R52*E52)</f>
        <v>62.5</v>
      </c>
    </row>
    <row r="53" spans="1:20" ht="20.25" customHeight="1" thickBot="1" x14ac:dyDescent="0.3">
      <c r="A53" s="7" t="s">
        <v>95</v>
      </c>
      <c r="B53" s="19" t="s">
        <v>280</v>
      </c>
      <c r="C53" s="11" t="s">
        <v>112</v>
      </c>
      <c r="D53" s="14" t="s">
        <v>35</v>
      </c>
      <c r="E53" s="14">
        <v>20</v>
      </c>
      <c r="F53" s="15">
        <f>2.49</f>
        <v>2.4900000000000002</v>
      </c>
      <c r="G53" s="15"/>
      <c r="H53" s="15"/>
      <c r="I53" s="8"/>
      <c r="J53" s="8"/>
      <c r="K53" s="9"/>
      <c r="L53" s="9"/>
      <c r="M53" s="9"/>
      <c r="N53" s="9" t="e">
        <f>AVERAGE(I53:M53)</f>
        <v>#DIV/0!</v>
      </c>
      <c r="O53" s="13" t="e">
        <f>STDEVPA(I53:M53)</f>
        <v>#DIV/0!</v>
      </c>
      <c r="P53" s="13" t="e">
        <f t="shared" si="17"/>
        <v>#DIV/0!</v>
      </c>
      <c r="Q53" s="13" t="e">
        <f t="shared" si="18"/>
        <v>#DIV/0!</v>
      </c>
      <c r="R53" s="9">
        <f>IF(F53&gt;0,F53,IF(G53&gt;0,G53,IF(H53&gt;0,H53,AVERAGEIFS(I53:M53,I53:M53,"&gt;="&amp;Q53,I53:M53,"&lt;="&amp;P53))))</f>
        <v>2.4900000000000002</v>
      </c>
      <c r="S53" s="13">
        <f>IF(F53&gt;0,F53,IF(G53&gt;0,G53,IF(H53&gt;0,H53,MEDIAN(I53:M53))))</f>
        <v>2.4900000000000002</v>
      </c>
      <c r="T53" s="9">
        <f>IF(R53&gt;S53,S53*E53,R53*E53)</f>
        <v>49.800000000000004</v>
      </c>
    </row>
    <row r="54" spans="1:20" ht="19.5" customHeight="1" thickBot="1" x14ac:dyDescent="0.3">
      <c r="A54" s="7" t="s">
        <v>96</v>
      </c>
      <c r="B54" s="19" t="s">
        <v>281</v>
      </c>
      <c r="C54" s="11" t="s">
        <v>113</v>
      </c>
      <c r="D54" s="14" t="s">
        <v>35</v>
      </c>
      <c r="E54" s="14">
        <v>70</v>
      </c>
      <c r="F54" s="15">
        <f>0.93</f>
        <v>0.93</v>
      </c>
      <c r="G54" s="15"/>
      <c r="H54" s="15"/>
      <c r="I54" s="8"/>
      <c r="J54" s="8"/>
      <c r="K54" s="9"/>
      <c r="L54" s="9"/>
      <c r="M54" s="9"/>
      <c r="N54" s="9" t="e">
        <f>AVERAGE(I54:M54)</f>
        <v>#DIV/0!</v>
      </c>
      <c r="O54" s="13" t="e">
        <f>STDEVPA(I54:M54)</f>
        <v>#DIV/0!</v>
      </c>
      <c r="P54" s="13" t="e">
        <f t="shared" si="17"/>
        <v>#DIV/0!</v>
      </c>
      <c r="Q54" s="13" t="e">
        <f t="shared" si="18"/>
        <v>#DIV/0!</v>
      </c>
      <c r="R54" s="9">
        <f>IF(F54&gt;0,F54,IF(G54&gt;0,G54,IF(H54&gt;0,H54,AVERAGEIFS(I54:M54,I54:M54,"&gt;="&amp;Q54,I54:M54,"&lt;="&amp;P54))))</f>
        <v>0.93</v>
      </c>
      <c r="S54" s="13">
        <f>IF(F54&gt;0,F54,IF(G54&gt;0,G54,IF(H54&gt;0,H54,MEDIAN(I54:M54))))</f>
        <v>0.93</v>
      </c>
      <c r="T54" s="9">
        <f>IF(R54&gt;S54,S54*E54,R54*E54)</f>
        <v>65.100000000000009</v>
      </c>
    </row>
    <row r="55" spans="1:20" ht="36" customHeight="1" thickBot="1" x14ac:dyDescent="0.3">
      <c r="A55" s="14" t="s">
        <v>97</v>
      </c>
      <c r="B55" s="19" t="s">
        <v>114</v>
      </c>
      <c r="C55" s="11" t="s">
        <v>115</v>
      </c>
      <c r="D55" s="14" t="s">
        <v>35</v>
      </c>
      <c r="E55" s="14">
        <v>70</v>
      </c>
      <c r="F55" s="15"/>
      <c r="G55" s="15"/>
      <c r="H55" s="15"/>
      <c r="I55" s="51">
        <v>21</v>
      </c>
      <c r="J55" s="8"/>
      <c r="K55" s="9"/>
      <c r="L55" s="9"/>
      <c r="M55" s="9"/>
      <c r="N55" s="9">
        <f>AVERAGE(I55:M55)</f>
        <v>21</v>
      </c>
      <c r="O55" s="13">
        <f>STDEVPA(I55:M55)</f>
        <v>0</v>
      </c>
      <c r="P55" s="13">
        <f t="shared" si="17"/>
        <v>21</v>
      </c>
      <c r="Q55" s="13">
        <f t="shared" si="18"/>
        <v>21</v>
      </c>
      <c r="R55" s="9">
        <f>IF(F55&gt;0,F55,IF(G55&gt;0,G55,IF(H55&gt;0,H55,AVERAGEIFS(I55:M55,I55:M55,"&gt;="&amp;Q55,I55:M55,"&lt;="&amp;P55))))</f>
        <v>21</v>
      </c>
      <c r="S55" s="13">
        <f>IF(F55&gt;0,F55,IF(G55&gt;0,G55,IF(H55&gt;0,H55,MEDIAN(I55:M55))))</f>
        <v>21</v>
      </c>
      <c r="T55" s="9">
        <f>IF(R55&gt;S55,S55*E55,R55*E55)</f>
        <v>1470</v>
      </c>
    </row>
    <row r="56" spans="1:20" ht="23.25" customHeight="1" thickBot="1" x14ac:dyDescent="0.3">
      <c r="A56" s="57" t="s">
        <v>98</v>
      </c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9"/>
    </row>
    <row r="57" spans="1:20" ht="38.25" customHeight="1" thickBot="1" x14ac:dyDescent="0.3">
      <c r="A57" s="7" t="s">
        <v>93</v>
      </c>
      <c r="B57" s="19" t="s">
        <v>282</v>
      </c>
      <c r="C57" s="11" t="s">
        <v>116</v>
      </c>
      <c r="D57" s="14" t="s">
        <v>3</v>
      </c>
      <c r="E57" s="14">
        <v>3.1800000000000002E-2</v>
      </c>
      <c r="F57" s="15">
        <f>422.14</f>
        <v>422.14</v>
      </c>
      <c r="G57" s="15"/>
      <c r="H57" s="15"/>
      <c r="I57" s="15"/>
      <c r="J57" s="8"/>
      <c r="K57" s="9"/>
      <c r="L57" s="9"/>
      <c r="M57" s="9"/>
      <c r="N57" s="9" t="e">
        <f>AVERAGE(I57:M57)</f>
        <v>#DIV/0!</v>
      </c>
      <c r="O57" s="13" t="e">
        <f>STDEVPA(I57:M57)</f>
        <v>#DIV/0!</v>
      </c>
      <c r="P57" s="13" t="e">
        <f t="shared" si="17"/>
        <v>#DIV/0!</v>
      </c>
      <c r="Q57" s="13" t="e">
        <f t="shared" si="18"/>
        <v>#DIV/0!</v>
      </c>
      <c r="R57" s="9">
        <f>IF(F57&gt;0,F57,IF(G57&gt;0,G57,IF(H57&gt;0,H57,AVERAGEIFS(I57:M57,I57:M57,"&gt;="&amp;Q57,I57:M57,"&lt;="&amp;P57))))</f>
        <v>422.14</v>
      </c>
      <c r="S57" s="13">
        <f>IF(F57&gt;0,F57,IF(G57&gt;0,G57,IF(H57&gt;0,H57,MEDIAN(I57:M57))))</f>
        <v>422.14</v>
      </c>
      <c r="T57" s="9">
        <f>IF(R57&gt;S57,S57*E57,R57*E57)</f>
        <v>13.424052</v>
      </c>
    </row>
    <row r="58" spans="1:20" ht="30" customHeight="1" thickBot="1" x14ac:dyDescent="0.3">
      <c r="A58" s="7" t="s">
        <v>99</v>
      </c>
      <c r="B58" s="19" t="s">
        <v>283</v>
      </c>
      <c r="C58" s="11" t="s">
        <v>117</v>
      </c>
      <c r="D58" s="14" t="s">
        <v>35</v>
      </c>
      <c r="E58" s="14">
        <v>1</v>
      </c>
      <c r="F58" s="15">
        <f>105.37</f>
        <v>105.37</v>
      </c>
      <c r="G58" s="15"/>
      <c r="H58" s="15"/>
      <c r="I58" s="15"/>
      <c r="J58" s="8"/>
      <c r="K58" s="9"/>
      <c r="L58" s="9"/>
      <c r="M58" s="9"/>
      <c r="N58" s="9" t="e">
        <f>AVERAGE(I58:M58)</f>
        <v>#DIV/0!</v>
      </c>
      <c r="O58" s="13" t="e">
        <f>STDEVPA(I58:M58)</f>
        <v>#DIV/0!</v>
      </c>
      <c r="P58" s="13" t="e">
        <f t="shared" si="17"/>
        <v>#DIV/0!</v>
      </c>
      <c r="Q58" s="13" t="e">
        <f t="shared" si="18"/>
        <v>#DIV/0!</v>
      </c>
      <c r="R58" s="9">
        <f>IF(F58&gt;0,F58,IF(G58&gt;0,G58,IF(H58&gt;0,H58,AVERAGEIFS(I58:M58,I58:M58,"&gt;="&amp;Q58,I58:M58,"&lt;="&amp;P58))))</f>
        <v>105.37</v>
      </c>
      <c r="S58" s="13">
        <f>IF(F58&gt;0,F58,IF(G58&gt;0,G58,IF(H58&gt;0,H58,MEDIAN(I58:M58))))</f>
        <v>105.37</v>
      </c>
      <c r="T58" s="9">
        <f>IF(R58&gt;S58,S58*E58,R58*E58)</f>
        <v>105.37</v>
      </c>
    </row>
    <row r="59" spans="1:20" ht="23.25" customHeight="1" thickBot="1" x14ac:dyDescent="0.3">
      <c r="A59" s="7" t="s">
        <v>100</v>
      </c>
      <c r="B59" s="19" t="s">
        <v>284</v>
      </c>
      <c r="C59" s="11" t="s">
        <v>118</v>
      </c>
      <c r="D59" s="14" t="s">
        <v>35</v>
      </c>
      <c r="E59" s="14">
        <v>1</v>
      </c>
      <c r="F59" s="15">
        <f>85.96</f>
        <v>85.96</v>
      </c>
      <c r="G59" s="15"/>
      <c r="H59" s="15"/>
      <c r="I59" s="15"/>
      <c r="J59" s="8"/>
      <c r="K59" s="9"/>
      <c r="L59" s="9"/>
      <c r="M59" s="9"/>
      <c r="N59" s="9" t="e">
        <f>AVERAGE(I59:M59)</f>
        <v>#DIV/0!</v>
      </c>
      <c r="O59" s="13" t="e">
        <f>STDEVPA(I59:M59)</f>
        <v>#DIV/0!</v>
      </c>
      <c r="P59" s="13" t="e">
        <f t="shared" si="17"/>
        <v>#DIV/0!</v>
      </c>
      <c r="Q59" s="13" t="e">
        <f t="shared" si="18"/>
        <v>#DIV/0!</v>
      </c>
      <c r="R59" s="9">
        <f>IF(F59&gt;0,F59,IF(G59&gt;0,G59,IF(H59&gt;0,H59,AVERAGEIFS(I59:M59,I59:M59,"&gt;="&amp;Q59,I59:M59,"&lt;="&amp;P59))))</f>
        <v>85.96</v>
      </c>
      <c r="S59" s="13">
        <f>IF(F59&gt;0,F59,IF(G59&gt;0,G59,IF(H59&gt;0,H59,MEDIAN(I59:M59))))</f>
        <v>85.96</v>
      </c>
      <c r="T59" s="9">
        <f>IF(R59&gt;S59,S59*E59,R59*E59)</f>
        <v>85.96</v>
      </c>
    </row>
    <row r="60" spans="1:20" ht="21.75" customHeight="1" thickBot="1" x14ac:dyDescent="0.3">
      <c r="A60" s="57" t="s">
        <v>101</v>
      </c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9"/>
    </row>
    <row r="61" spans="1:20" ht="25.5" customHeight="1" thickBot="1" x14ac:dyDescent="0.3">
      <c r="A61" s="7" t="s">
        <v>119</v>
      </c>
      <c r="B61" s="45">
        <v>122</v>
      </c>
      <c r="C61" s="11" t="s">
        <v>123</v>
      </c>
      <c r="D61" s="14" t="s">
        <v>35</v>
      </c>
      <c r="E61" s="14">
        <v>2</v>
      </c>
      <c r="F61" s="15">
        <f>51.93</f>
        <v>51.93</v>
      </c>
      <c r="G61" s="15"/>
      <c r="H61" s="15"/>
      <c r="I61" s="8"/>
      <c r="J61" s="8"/>
      <c r="K61" s="9"/>
      <c r="L61" s="9"/>
      <c r="M61" s="9"/>
      <c r="N61" s="9" t="e">
        <f>AVERAGE(I61:M61)</f>
        <v>#DIV/0!</v>
      </c>
      <c r="O61" s="13" t="e">
        <f>STDEVPA(I61:M61)</f>
        <v>#DIV/0!</v>
      </c>
      <c r="P61" s="13" t="e">
        <f>N61+O61</f>
        <v>#DIV/0!</v>
      </c>
      <c r="Q61" s="13" t="e">
        <f>N61-O61</f>
        <v>#DIV/0!</v>
      </c>
      <c r="R61" s="9">
        <f>IF(F61&gt;0,F61,IF(G61&gt;0,G61,IF(H61&gt;0,H61,AVERAGEIFS(I61:M61,I61:M61,"&gt;="&amp;Q61,I61:M61,"&lt;="&amp;P61))))</f>
        <v>51.93</v>
      </c>
      <c r="S61" s="13">
        <f>IF(F61&gt;0,F61,IF(G61&gt;0,G61,IF(H61&gt;0,H61,MEDIAN(I61:M61))))</f>
        <v>51.93</v>
      </c>
      <c r="T61" s="9">
        <f>IF(R61&gt;S61,S61*E61,R61*E61)</f>
        <v>103.86</v>
      </c>
    </row>
    <row r="62" spans="1:20" ht="22.5" customHeight="1" thickBot="1" x14ac:dyDescent="0.3">
      <c r="A62" s="7" t="s">
        <v>120</v>
      </c>
      <c r="B62" s="45">
        <v>20083</v>
      </c>
      <c r="C62" s="11" t="s">
        <v>124</v>
      </c>
      <c r="D62" s="14" t="s">
        <v>35</v>
      </c>
      <c r="E62" s="14">
        <v>3</v>
      </c>
      <c r="F62" s="15">
        <f>58.84</f>
        <v>58.84</v>
      </c>
      <c r="G62" s="15"/>
      <c r="H62" s="15"/>
      <c r="I62" s="8"/>
      <c r="J62" s="8"/>
      <c r="K62" s="9"/>
      <c r="L62" s="9"/>
      <c r="M62" s="9"/>
      <c r="N62" s="9" t="e">
        <f>AVERAGE(I62:M62)</f>
        <v>#DIV/0!</v>
      </c>
      <c r="O62" s="13" t="e">
        <f>STDEVPA(I62:M62)</f>
        <v>#DIV/0!</v>
      </c>
      <c r="P62" s="13" t="e">
        <f t="shared" ref="P62:P64" si="19">N62+O62</f>
        <v>#DIV/0!</v>
      </c>
      <c r="Q62" s="13" t="e">
        <f t="shared" ref="Q62:Q64" si="20">N62-O62</f>
        <v>#DIV/0!</v>
      </c>
      <c r="R62" s="9">
        <f>IF(F62&gt;0,F62,IF(G62&gt;0,G62,IF(H62&gt;0,H62,AVERAGEIFS(I62:M62,I62:M62,"&gt;="&amp;Q62,I62:M62,"&lt;="&amp;P62))))</f>
        <v>58.84</v>
      </c>
      <c r="S62" s="13">
        <f>IF(F62&gt;0,F62,IF(G62&gt;0,G62,IF(H62&gt;0,H62,MEDIAN(I62:M62))))</f>
        <v>58.84</v>
      </c>
      <c r="T62" s="9">
        <f>IF(R62&gt;S62,S62*E62,R62*E62)</f>
        <v>176.52</v>
      </c>
    </row>
    <row r="63" spans="1:20" ht="24" customHeight="1" thickBot="1" x14ac:dyDescent="0.3">
      <c r="A63" s="14" t="s">
        <v>121</v>
      </c>
      <c r="B63" s="45" t="s">
        <v>125</v>
      </c>
      <c r="C63" s="11" t="s">
        <v>126</v>
      </c>
      <c r="D63" s="14" t="s">
        <v>35</v>
      </c>
      <c r="E63" s="14">
        <v>1</v>
      </c>
      <c r="F63" s="15"/>
      <c r="G63" s="15"/>
      <c r="H63" s="15"/>
      <c r="I63" s="51">
        <v>3.69</v>
      </c>
      <c r="J63" s="8"/>
      <c r="K63" s="9"/>
      <c r="L63" s="9"/>
      <c r="M63" s="9"/>
      <c r="N63" s="9">
        <f>AVERAGE(I63:M63)</f>
        <v>3.69</v>
      </c>
      <c r="O63" s="13">
        <f>STDEVPA(I63:M63)</f>
        <v>0</v>
      </c>
      <c r="P63" s="13">
        <f t="shared" si="19"/>
        <v>3.69</v>
      </c>
      <c r="Q63" s="13">
        <f t="shared" si="20"/>
        <v>3.69</v>
      </c>
      <c r="R63" s="9">
        <f>IF(F63&gt;0,F63,IF(G63&gt;0,G63,IF(H63&gt;0,H63,AVERAGEIFS(I63:M63,I63:M63,"&gt;="&amp;Q63,I63:M63,"&lt;="&amp;P63))))</f>
        <v>3.69</v>
      </c>
      <c r="S63" s="13">
        <f>IF(F63&gt;0,F63,IF(G63&gt;0,G63,IF(H63&gt;0,H63,MEDIAN(I63:M63))))</f>
        <v>3.69</v>
      </c>
      <c r="T63" s="9">
        <f>IF(R63&gt;S63,S63*E63,R63*E63)</f>
        <v>3.69</v>
      </c>
    </row>
    <row r="64" spans="1:20" ht="21.75" customHeight="1" thickBot="1" x14ac:dyDescent="0.3">
      <c r="A64" s="7" t="s">
        <v>122</v>
      </c>
      <c r="B64" s="45">
        <v>38383</v>
      </c>
      <c r="C64" s="11" t="s">
        <v>127</v>
      </c>
      <c r="D64" s="14" t="s">
        <v>35</v>
      </c>
      <c r="E64" s="14">
        <v>13</v>
      </c>
      <c r="F64" s="15">
        <f>2.11</f>
        <v>2.11</v>
      </c>
      <c r="G64" s="15"/>
      <c r="H64" s="15"/>
      <c r="I64" s="8"/>
      <c r="J64" s="8"/>
      <c r="K64" s="9"/>
      <c r="L64" s="9"/>
      <c r="M64" s="9"/>
      <c r="N64" s="9" t="e">
        <f>AVERAGE(I64:M64)</f>
        <v>#DIV/0!</v>
      </c>
      <c r="O64" s="13" t="e">
        <f>STDEVPA(I64:M64)</f>
        <v>#DIV/0!</v>
      </c>
      <c r="P64" s="13" t="e">
        <f t="shared" si="19"/>
        <v>#DIV/0!</v>
      </c>
      <c r="Q64" s="13" t="e">
        <f t="shared" si="20"/>
        <v>#DIV/0!</v>
      </c>
      <c r="R64" s="9">
        <f>IF(F64&gt;0,F64,IF(G64&gt;0,G64,IF(H64&gt;0,H64,AVERAGEIFS(I64:M64,I64:M64,"&gt;="&amp;Q64,I64:M64,"&lt;="&amp;P64))))</f>
        <v>2.11</v>
      </c>
      <c r="S64" s="13">
        <f>IF(F64&gt;0,F64,IF(G64&gt;0,G64,IF(H64&gt;0,H64,MEDIAN(I64:M64))))</f>
        <v>2.11</v>
      </c>
      <c r="T64" s="9">
        <f>IF(R64&gt;S64,S64*E64,R64*E64)</f>
        <v>27.43</v>
      </c>
    </row>
    <row r="65" spans="1:20" s="6" customFormat="1" ht="16.5" thickBot="1" x14ac:dyDescent="0.3">
      <c r="A65" s="64" t="s">
        <v>128</v>
      </c>
      <c r="B65" s="64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</row>
    <row r="66" spans="1:20" s="6" customFormat="1" ht="16.5" thickBot="1" x14ac:dyDescent="0.3">
      <c r="A66" s="64" t="s">
        <v>129</v>
      </c>
      <c r="B66" s="64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</row>
    <row r="67" spans="1:20" ht="40.5" customHeight="1" thickBot="1" x14ac:dyDescent="0.3">
      <c r="A67" s="7" t="s">
        <v>130</v>
      </c>
      <c r="B67" s="19" t="s">
        <v>285</v>
      </c>
      <c r="C67" s="11" t="s">
        <v>134</v>
      </c>
      <c r="D67" s="14" t="s">
        <v>135</v>
      </c>
      <c r="E67" s="14">
        <v>24</v>
      </c>
      <c r="F67" s="15">
        <f>22.7</f>
        <v>22.7</v>
      </c>
      <c r="G67" s="15"/>
      <c r="H67" s="15"/>
      <c r="I67" s="8"/>
      <c r="J67" s="8"/>
      <c r="K67" s="9"/>
      <c r="L67" s="9"/>
      <c r="M67" s="9"/>
      <c r="N67" s="9" t="e">
        <f>AVERAGE(I67:M67)</f>
        <v>#DIV/0!</v>
      </c>
      <c r="O67" s="13" t="e">
        <f>STDEVPA(I67:M67)</f>
        <v>#DIV/0!</v>
      </c>
      <c r="P67" s="13" t="e">
        <f t="shared" ref="P67:P68" si="21">N67+O67</f>
        <v>#DIV/0!</v>
      </c>
      <c r="Q67" s="13" t="e">
        <f t="shared" ref="Q67:Q68" si="22">N67-O67</f>
        <v>#DIV/0!</v>
      </c>
      <c r="R67" s="9">
        <f>IF(F67&gt;0,F67,IF(G67&gt;0,G67,IF(H67&gt;0,H67,AVERAGEIFS(I67:M67,I67:M67,"&gt;="&amp;Q67,I67:M67,"&lt;="&amp;P67))))</f>
        <v>22.7</v>
      </c>
      <c r="S67" s="13">
        <f>IF(F67&gt;0,F67,IF(G67&gt;0,G67,IF(H67&gt;0,H67,MEDIAN(I67:M67))))</f>
        <v>22.7</v>
      </c>
      <c r="T67" s="9">
        <f>IF(R67&gt;S67,S67*E67,R67*E67)</f>
        <v>544.79999999999995</v>
      </c>
    </row>
    <row r="68" spans="1:20" ht="50.25" customHeight="1" thickBot="1" x14ac:dyDescent="0.3">
      <c r="A68" s="7" t="s">
        <v>131</v>
      </c>
      <c r="B68" s="19" t="s">
        <v>286</v>
      </c>
      <c r="C68" s="11" t="s">
        <v>137</v>
      </c>
      <c r="D68" s="14" t="s">
        <v>135</v>
      </c>
      <c r="E68" s="14">
        <v>48</v>
      </c>
      <c r="F68" s="15">
        <f>18.89</f>
        <v>18.89</v>
      </c>
      <c r="G68" s="15"/>
      <c r="H68" s="15"/>
      <c r="I68" s="8"/>
      <c r="J68" s="8"/>
      <c r="K68" s="9"/>
      <c r="L68" s="9"/>
      <c r="M68" s="9"/>
      <c r="N68" s="9" t="e">
        <f>AVERAGE(I68:M68)</f>
        <v>#DIV/0!</v>
      </c>
      <c r="O68" s="13" t="e">
        <f>STDEVPA(I68:M68)</f>
        <v>#DIV/0!</v>
      </c>
      <c r="P68" s="13" t="e">
        <f t="shared" si="21"/>
        <v>#DIV/0!</v>
      </c>
      <c r="Q68" s="13" t="e">
        <f t="shared" si="22"/>
        <v>#DIV/0!</v>
      </c>
      <c r="R68" s="9">
        <f>IF(F68&gt;0,F68,IF(G68&gt;0,G68,IF(H68&gt;0,H68,AVERAGEIFS(I68:M68,I68:M68,"&gt;="&amp;Q68,I68:M68,"&lt;="&amp;P68))))</f>
        <v>18.89</v>
      </c>
      <c r="S68" s="13">
        <f>IF(F68&gt;0,F68,IF(G68&gt;0,G68,IF(H68&gt;0,H68,MEDIAN(I68:M68))))</f>
        <v>18.89</v>
      </c>
      <c r="T68" s="9">
        <f>IF(R68&gt;S68,S68*E68,R68*E68)</f>
        <v>906.72</v>
      </c>
    </row>
    <row r="69" spans="1:20" s="6" customFormat="1" ht="26.25" thickBot="1" x14ac:dyDescent="0.4">
      <c r="A69" s="61" t="s">
        <v>142</v>
      </c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3"/>
      <c r="T69" s="24">
        <f>SUM(T13:T68)</f>
        <v>14932.474052000001</v>
      </c>
    </row>
    <row r="70" spans="1:20" x14ac:dyDescent="0.25">
      <c r="A70" s="25"/>
      <c r="B70" s="25"/>
      <c r="C70" s="26"/>
      <c r="D70" s="26"/>
      <c r="E70" s="26"/>
      <c r="F70" s="27"/>
      <c r="G70" s="27"/>
      <c r="H70" s="27"/>
      <c r="I70" s="28"/>
      <c r="J70" s="28"/>
      <c r="K70" s="26"/>
      <c r="L70" s="26"/>
      <c r="M70" s="26"/>
      <c r="N70" s="26"/>
      <c r="O70" s="26"/>
      <c r="P70" s="26"/>
      <c r="Q70" s="26"/>
      <c r="R70" s="26"/>
      <c r="S70" s="27"/>
      <c r="T70" s="26"/>
    </row>
    <row r="71" spans="1:20" x14ac:dyDescent="0.25">
      <c r="A71" s="29" t="s">
        <v>15</v>
      </c>
      <c r="B71" s="30"/>
      <c r="C71" s="31"/>
      <c r="D71" s="31"/>
      <c r="E71" s="31"/>
      <c r="F71" s="32"/>
      <c r="G71" s="32"/>
      <c r="H71" s="32"/>
      <c r="I71" s="33"/>
      <c r="J71" s="33"/>
      <c r="K71" s="31"/>
      <c r="L71" s="31"/>
      <c r="M71" s="31"/>
      <c r="N71" s="31"/>
      <c r="O71" s="31"/>
      <c r="P71" s="31"/>
      <c r="Q71" s="31"/>
      <c r="R71" s="31"/>
      <c r="S71" s="32"/>
      <c r="T71" s="31"/>
    </row>
    <row r="72" spans="1:20" x14ac:dyDescent="0.25">
      <c r="A72" s="60" t="s">
        <v>299</v>
      </c>
      <c r="B72" s="60"/>
      <c r="C72" s="60"/>
      <c r="D72" s="60"/>
      <c r="E72" s="60"/>
      <c r="F72" s="60"/>
      <c r="G72" s="60"/>
      <c r="H72" s="60"/>
      <c r="I72" s="60"/>
      <c r="J72" s="33"/>
      <c r="K72" s="31"/>
      <c r="L72" s="31"/>
      <c r="M72" s="31"/>
      <c r="N72" s="31"/>
      <c r="O72" s="31"/>
      <c r="P72" s="31"/>
      <c r="Q72" s="31"/>
      <c r="R72" s="31"/>
      <c r="S72" s="32"/>
      <c r="T72" s="31"/>
    </row>
    <row r="73" spans="1:20" ht="15.75" customHeight="1" x14ac:dyDescent="0.25">
      <c r="A73" s="60" t="s">
        <v>298</v>
      </c>
      <c r="B73" s="60"/>
      <c r="C73" s="60"/>
      <c r="D73" s="60"/>
      <c r="E73" s="60"/>
      <c r="F73" s="60"/>
      <c r="G73" s="60"/>
      <c r="H73" s="60"/>
      <c r="I73" s="60"/>
      <c r="J73" s="33"/>
      <c r="K73" s="31"/>
      <c r="L73" s="31"/>
      <c r="M73" s="31"/>
      <c r="N73" s="31"/>
      <c r="O73" s="31"/>
      <c r="P73" s="31"/>
      <c r="Q73" s="31"/>
      <c r="R73" s="31"/>
      <c r="S73" s="32"/>
      <c r="T73" s="31"/>
    </row>
    <row r="74" spans="1:20" x14ac:dyDescent="0.25">
      <c r="A74" s="60"/>
      <c r="B74" s="60"/>
      <c r="C74" s="60"/>
      <c r="D74" s="60"/>
      <c r="E74" s="60"/>
      <c r="F74" s="60"/>
      <c r="G74" s="60"/>
      <c r="H74" s="60"/>
      <c r="I74" s="60"/>
    </row>
  </sheetData>
  <mergeCells count="31">
    <mergeCell ref="A5:T5"/>
    <mergeCell ref="A6:T6"/>
    <mergeCell ref="A7:T7"/>
    <mergeCell ref="T9:T10"/>
    <mergeCell ref="A11:E11"/>
    <mergeCell ref="A9:A10"/>
    <mergeCell ref="C9:C10"/>
    <mergeCell ref="D9:D10"/>
    <mergeCell ref="E9:E10"/>
    <mergeCell ref="B9:B10"/>
    <mergeCell ref="F9:H9"/>
    <mergeCell ref="I9:M9"/>
    <mergeCell ref="O9:O10"/>
    <mergeCell ref="R9:R10"/>
    <mergeCell ref="P9:P10"/>
    <mergeCell ref="S9:S10"/>
    <mergeCell ref="Q9:Q10"/>
    <mergeCell ref="A12:T12"/>
    <mergeCell ref="N9:N10"/>
    <mergeCell ref="A20:T20"/>
    <mergeCell ref="A74:I74"/>
    <mergeCell ref="A72:I72"/>
    <mergeCell ref="A69:S69"/>
    <mergeCell ref="A37:T37"/>
    <mergeCell ref="A65:T65"/>
    <mergeCell ref="A66:T66"/>
    <mergeCell ref="A73:I73"/>
    <mergeCell ref="A56:T56"/>
    <mergeCell ref="A60:T60"/>
    <mergeCell ref="A40:T40"/>
    <mergeCell ref="A50:T50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21" orientation="landscape" horizontalDpi="4294967294" verticalDpi="4294967294" r:id="rId1"/>
  <colBreaks count="1" manualBreakCount="1">
    <brk id="20" max="137" man="1"/>
  </col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1247775</xdr:colOff>
                <xdr:row>2</xdr:row>
                <xdr:rowOff>171450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79"/>
  <sheetViews>
    <sheetView view="pageBreakPreview" topLeftCell="J36" zoomScale="55" zoomScaleNormal="352" zoomScaleSheetLayoutView="55" workbookViewId="0">
      <selection activeCell="C36" sqref="C36"/>
    </sheetView>
  </sheetViews>
  <sheetFormatPr defaultRowHeight="15.75" x14ac:dyDescent="0.25"/>
  <cols>
    <col min="1" max="1" width="17.85546875" style="1" customWidth="1"/>
    <col min="2" max="2" width="20.140625" style="1" customWidth="1"/>
    <col min="3" max="3" width="75.85546875" style="3" customWidth="1"/>
    <col min="4" max="4" width="14.42578125" style="3" customWidth="1"/>
    <col min="5" max="5" width="12.7109375" style="3" customWidth="1"/>
    <col min="6" max="8" width="12.7109375" style="4" customWidth="1"/>
    <col min="9" max="9" width="30.28515625" style="5" customWidth="1"/>
    <col min="10" max="10" width="31.5703125" style="5" customWidth="1"/>
    <col min="11" max="11" width="53" style="3" customWidth="1"/>
    <col min="12" max="12" width="91.140625" style="3" customWidth="1"/>
    <col min="13" max="13" width="47" style="3" customWidth="1"/>
    <col min="14" max="18" width="33.5703125" style="3" customWidth="1"/>
    <col min="19" max="19" width="33.5703125" style="4" customWidth="1"/>
    <col min="20" max="20" width="33.5703125" style="3" customWidth="1"/>
    <col min="21" max="16384" width="9.140625" style="3"/>
  </cols>
  <sheetData>
    <row r="1" spans="1:20" x14ac:dyDescent="0.25">
      <c r="C1" s="2" t="s">
        <v>255</v>
      </c>
    </row>
    <row r="2" spans="1:20" x14ac:dyDescent="0.25">
      <c r="C2" s="2" t="s">
        <v>256</v>
      </c>
    </row>
    <row r="3" spans="1:20" x14ac:dyDescent="0.25">
      <c r="C3" s="2" t="s">
        <v>257</v>
      </c>
    </row>
    <row r="5" spans="1:20" x14ac:dyDescent="0.25">
      <c r="A5" s="65" t="s">
        <v>292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</row>
    <row r="6" spans="1:20" x14ac:dyDescent="0.25">
      <c r="A6" s="66" t="s">
        <v>143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</row>
    <row r="7" spans="1:20" x14ac:dyDescent="0.25">
      <c r="A7" s="65" t="s">
        <v>2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</row>
    <row r="8" spans="1:20" ht="16.5" thickBot="1" x14ac:dyDescent="0.3"/>
    <row r="9" spans="1:20" ht="78" customHeight="1" thickBot="1" x14ac:dyDescent="0.3">
      <c r="A9" s="67" t="s">
        <v>0</v>
      </c>
      <c r="B9" s="67" t="s">
        <v>4</v>
      </c>
      <c r="C9" s="67" t="s">
        <v>7</v>
      </c>
      <c r="D9" s="67" t="s">
        <v>1</v>
      </c>
      <c r="E9" s="68" t="s">
        <v>10</v>
      </c>
      <c r="F9" s="56" t="s">
        <v>260</v>
      </c>
      <c r="G9" s="69"/>
      <c r="H9" s="69"/>
      <c r="I9" s="56" t="s">
        <v>20</v>
      </c>
      <c r="J9" s="56"/>
      <c r="K9" s="56"/>
      <c r="L9" s="56"/>
      <c r="M9" s="56"/>
      <c r="N9" s="56" t="s">
        <v>11</v>
      </c>
      <c r="O9" s="56" t="s">
        <v>12</v>
      </c>
      <c r="P9" s="56" t="s">
        <v>13</v>
      </c>
      <c r="Q9" s="56" t="s">
        <v>14</v>
      </c>
      <c r="R9" s="56" t="s">
        <v>16</v>
      </c>
      <c r="S9" s="73" t="s">
        <v>21</v>
      </c>
      <c r="T9" s="56" t="s">
        <v>22</v>
      </c>
    </row>
    <row r="10" spans="1:20" ht="80.25" customHeight="1" thickBot="1" x14ac:dyDescent="0.3">
      <c r="A10" s="67"/>
      <c r="B10" s="67"/>
      <c r="C10" s="67"/>
      <c r="D10" s="67"/>
      <c r="E10" s="67"/>
      <c r="F10" s="36" t="s">
        <v>5</v>
      </c>
      <c r="G10" s="36" t="s">
        <v>6</v>
      </c>
      <c r="H10" s="35" t="s">
        <v>9</v>
      </c>
      <c r="I10" s="53" t="s">
        <v>297</v>
      </c>
      <c r="J10" s="35" t="s">
        <v>138</v>
      </c>
      <c r="K10" s="35" t="s">
        <v>139</v>
      </c>
      <c r="L10" s="35" t="s">
        <v>140</v>
      </c>
      <c r="M10" s="35" t="s">
        <v>141</v>
      </c>
      <c r="N10" s="56"/>
      <c r="O10" s="56"/>
      <c r="P10" s="56"/>
      <c r="Q10" s="56"/>
      <c r="R10" s="56"/>
      <c r="S10" s="74"/>
      <c r="T10" s="56"/>
    </row>
    <row r="11" spans="1:20" ht="16.5" thickBot="1" x14ac:dyDescent="0.3">
      <c r="A11" s="57" t="s">
        <v>23</v>
      </c>
      <c r="B11" s="58"/>
      <c r="C11" s="58"/>
      <c r="D11" s="58"/>
      <c r="E11" s="59"/>
      <c r="F11" s="37"/>
      <c r="G11" s="37"/>
      <c r="H11" s="37"/>
      <c r="I11" s="38" t="s">
        <v>8</v>
      </c>
      <c r="J11" s="38" t="s">
        <v>8</v>
      </c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1:20" ht="16.5" thickBot="1" x14ac:dyDescent="0.3">
      <c r="A12" s="57" t="s">
        <v>24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9"/>
    </row>
    <row r="13" spans="1:20" ht="24" customHeight="1" thickBot="1" x14ac:dyDescent="0.3">
      <c r="A13" s="14" t="s">
        <v>25</v>
      </c>
      <c r="B13" s="19" t="s">
        <v>258</v>
      </c>
      <c r="C13" s="16" t="s">
        <v>31</v>
      </c>
      <c r="D13" s="14" t="s">
        <v>32</v>
      </c>
      <c r="E13" s="14">
        <v>3</v>
      </c>
      <c r="F13" s="15"/>
      <c r="G13" s="15"/>
      <c r="H13" s="15">
        <f>19.96</f>
        <v>19.96</v>
      </c>
      <c r="I13" s="13"/>
      <c r="J13" s="15"/>
      <c r="K13" s="9"/>
      <c r="L13" s="9"/>
      <c r="M13" s="9"/>
      <c r="N13" s="9" t="e">
        <f>AVERAGE(I13:M13)</f>
        <v>#DIV/0!</v>
      </c>
      <c r="O13" s="13" t="e">
        <f>STDEVPA(I13:M13)</f>
        <v>#DIV/0!</v>
      </c>
      <c r="P13" s="13" t="e">
        <f t="shared" ref="P13:P64" si="0">N13+O13</f>
        <v>#DIV/0!</v>
      </c>
      <c r="Q13" s="13" t="e">
        <f t="shared" ref="Q13:Q64" si="1">N13-O13</f>
        <v>#DIV/0!</v>
      </c>
      <c r="R13" s="9">
        <f t="shared" ref="R13:R64" si="2">IF(F13&gt;0,F13,IF(G13&gt;0,G13,IF(H13&gt;0,H13,AVERAGEIFS(I13:M13,I13:M13,"&gt;="&amp;Q13,I13:M13,"&lt;="&amp;P13))))</f>
        <v>19.96</v>
      </c>
      <c r="S13" s="13">
        <f>IF(F13&gt;0,F13,IF(G13&gt;0,G13,IF(H13&gt;0,H13,MEDIAN(I13:M13))))</f>
        <v>19.96</v>
      </c>
      <c r="T13" s="9">
        <f>IF(R13&gt;S13,S13*E13,R13*E13)</f>
        <v>59.88</v>
      </c>
    </row>
    <row r="14" spans="1:20" ht="24.75" customHeight="1" thickBot="1" x14ac:dyDescent="0.3">
      <c r="A14" s="14" t="s">
        <v>26</v>
      </c>
      <c r="B14" s="19" t="s">
        <v>33</v>
      </c>
      <c r="C14" s="16" t="s">
        <v>34</v>
      </c>
      <c r="D14" s="14" t="s">
        <v>35</v>
      </c>
      <c r="E14" s="14">
        <v>1</v>
      </c>
      <c r="F14" s="15">
        <v>200.46</v>
      </c>
      <c r="G14" s="15"/>
      <c r="H14" s="15"/>
      <c r="I14" s="13"/>
      <c r="J14" s="15"/>
      <c r="K14" s="9"/>
      <c r="L14" s="9"/>
      <c r="M14" s="9"/>
      <c r="N14" s="9" t="e">
        <f t="shared" ref="N14:N64" si="3">AVERAGE(I14:M14)</f>
        <v>#DIV/0!</v>
      </c>
      <c r="O14" s="13" t="e">
        <f t="shared" ref="O14:O64" si="4">STDEVPA(I14:M14)</f>
        <v>#DIV/0!</v>
      </c>
      <c r="P14" s="13" t="e">
        <f t="shared" si="0"/>
        <v>#DIV/0!</v>
      </c>
      <c r="Q14" s="13" t="e">
        <f t="shared" si="1"/>
        <v>#DIV/0!</v>
      </c>
      <c r="R14" s="9">
        <f t="shared" si="2"/>
        <v>200.46</v>
      </c>
      <c r="S14" s="13">
        <f t="shared" ref="S14:S64" si="5">IF(F14&gt;0,F14,IF(G14&gt;0,G14,IF(H14&gt;0,H14,MEDIAN(I14:M14))))</f>
        <v>200.46</v>
      </c>
      <c r="T14" s="9">
        <f t="shared" ref="T14:T64" si="6">IF(R14&gt;S14,S14*E14,R14*E14)</f>
        <v>200.46</v>
      </c>
    </row>
    <row r="15" spans="1:20" ht="21" customHeight="1" thickBot="1" x14ac:dyDescent="0.3">
      <c r="A15" s="14" t="s">
        <v>27</v>
      </c>
      <c r="B15" s="19" t="s">
        <v>36</v>
      </c>
      <c r="C15" s="16" t="s">
        <v>37</v>
      </c>
      <c r="D15" s="14" t="s">
        <v>35</v>
      </c>
      <c r="E15" s="14">
        <v>1</v>
      </c>
      <c r="F15" s="15"/>
      <c r="G15" s="15"/>
      <c r="H15" s="15"/>
      <c r="I15" s="13">
        <v>2.75</v>
      </c>
      <c r="J15" s="15"/>
      <c r="K15" s="9"/>
      <c r="L15" s="9"/>
      <c r="M15" s="9"/>
      <c r="N15" s="9">
        <f t="shared" si="3"/>
        <v>2.75</v>
      </c>
      <c r="O15" s="13">
        <f t="shared" si="4"/>
        <v>0</v>
      </c>
      <c r="P15" s="13">
        <f t="shared" si="0"/>
        <v>2.75</v>
      </c>
      <c r="Q15" s="13">
        <f t="shared" si="1"/>
        <v>2.75</v>
      </c>
      <c r="R15" s="9">
        <f t="shared" si="2"/>
        <v>2.75</v>
      </c>
      <c r="S15" s="13">
        <f t="shared" si="5"/>
        <v>2.75</v>
      </c>
      <c r="T15" s="9">
        <f t="shared" si="6"/>
        <v>2.75</v>
      </c>
    </row>
    <row r="16" spans="1:20" ht="26.25" customHeight="1" thickBot="1" x14ac:dyDescent="0.3">
      <c r="A16" s="14" t="s">
        <v>28</v>
      </c>
      <c r="B16" s="19" t="s">
        <v>261</v>
      </c>
      <c r="C16" s="16" t="s">
        <v>38</v>
      </c>
      <c r="D16" s="14" t="s">
        <v>35</v>
      </c>
      <c r="E16" s="17">
        <v>1</v>
      </c>
      <c r="F16" s="18"/>
      <c r="G16" s="18"/>
      <c r="H16" s="18">
        <f>16.55</f>
        <v>16.55</v>
      </c>
      <c r="I16" s="13"/>
      <c r="J16" s="15"/>
      <c r="K16" s="13"/>
      <c r="L16" s="13"/>
      <c r="M16" s="13"/>
      <c r="N16" s="9" t="e">
        <f t="shared" si="3"/>
        <v>#DIV/0!</v>
      </c>
      <c r="O16" s="13" t="e">
        <f t="shared" si="4"/>
        <v>#DIV/0!</v>
      </c>
      <c r="P16" s="13" t="e">
        <f t="shared" si="0"/>
        <v>#DIV/0!</v>
      </c>
      <c r="Q16" s="13" t="e">
        <f t="shared" si="1"/>
        <v>#DIV/0!</v>
      </c>
      <c r="R16" s="9">
        <f t="shared" si="2"/>
        <v>16.55</v>
      </c>
      <c r="S16" s="13">
        <f t="shared" si="5"/>
        <v>16.55</v>
      </c>
      <c r="T16" s="9">
        <f t="shared" si="6"/>
        <v>16.55</v>
      </c>
    </row>
    <row r="17" spans="1:20" ht="24" customHeight="1" thickBot="1" x14ac:dyDescent="0.3">
      <c r="A17" s="14" t="s">
        <v>29</v>
      </c>
      <c r="B17" s="19" t="s">
        <v>263</v>
      </c>
      <c r="C17" s="11" t="s">
        <v>39</v>
      </c>
      <c r="D17" s="14" t="s">
        <v>35</v>
      </c>
      <c r="E17" s="17">
        <v>1</v>
      </c>
      <c r="F17" s="18">
        <f>28.74</f>
        <v>28.74</v>
      </c>
      <c r="G17" s="18"/>
      <c r="H17" s="18"/>
      <c r="I17" s="9"/>
      <c r="J17" s="8"/>
      <c r="K17" s="9"/>
      <c r="L17" s="9"/>
      <c r="M17" s="9"/>
      <c r="N17" s="9" t="e">
        <f t="shared" si="3"/>
        <v>#DIV/0!</v>
      </c>
      <c r="O17" s="13" t="e">
        <f t="shared" si="4"/>
        <v>#DIV/0!</v>
      </c>
      <c r="P17" s="13" t="e">
        <f t="shared" si="0"/>
        <v>#DIV/0!</v>
      </c>
      <c r="Q17" s="13" t="e">
        <f t="shared" si="1"/>
        <v>#DIV/0!</v>
      </c>
      <c r="R17" s="9">
        <f t="shared" si="2"/>
        <v>28.74</v>
      </c>
      <c r="S17" s="13">
        <f t="shared" si="5"/>
        <v>28.74</v>
      </c>
      <c r="T17" s="9">
        <f t="shared" si="6"/>
        <v>28.74</v>
      </c>
    </row>
    <row r="18" spans="1:20" ht="24.75" customHeight="1" thickBot="1" x14ac:dyDescent="0.3">
      <c r="A18" s="14" t="s">
        <v>29</v>
      </c>
      <c r="B18" s="19" t="s">
        <v>262</v>
      </c>
      <c r="C18" s="11" t="s">
        <v>40</v>
      </c>
      <c r="D18" s="14" t="s">
        <v>35</v>
      </c>
      <c r="E18" s="14">
        <v>1</v>
      </c>
      <c r="F18" s="15"/>
      <c r="G18" s="15"/>
      <c r="H18" s="15">
        <f>3.73</f>
        <v>3.73</v>
      </c>
      <c r="I18" s="9"/>
      <c r="J18" s="8"/>
      <c r="K18" s="9"/>
      <c r="L18" s="9"/>
      <c r="M18" s="9"/>
      <c r="N18" s="9" t="e">
        <f t="shared" si="3"/>
        <v>#DIV/0!</v>
      </c>
      <c r="O18" s="13" t="e">
        <f t="shared" si="4"/>
        <v>#DIV/0!</v>
      </c>
      <c r="P18" s="13" t="e">
        <f t="shared" si="0"/>
        <v>#DIV/0!</v>
      </c>
      <c r="Q18" s="13" t="e">
        <f t="shared" si="1"/>
        <v>#DIV/0!</v>
      </c>
      <c r="R18" s="9">
        <f t="shared" si="2"/>
        <v>3.73</v>
      </c>
      <c r="S18" s="13">
        <f t="shared" si="5"/>
        <v>3.73</v>
      </c>
      <c r="T18" s="9">
        <f t="shared" si="6"/>
        <v>3.73</v>
      </c>
    </row>
    <row r="19" spans="1:20" ht="18.75" customHeight="1" thickBot="1" x14ac:dyDescent="0.3">
      <c r="A19" s="57" t="s">
        <v>42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9"/>
    </row>
    <row r="20" spans="1:20" ht="38.25" customHeight="1" thickBot="1" x14ac:dyDescent="0.3">
      <c r="A20" s="14" t="s">
        <v>43</v>
      </c>
      <c r="B20" s="19" t="s">
        <v>60</v>
      </c>
      <c r="C20" s="11" t="s">
        <v>146</v>
      </c>
      <c r="D20" s="14" t="s">
        <v>35</v>
      </c>
      <c r="E20" s="14">
        <v>1</v>
      </c>
      <c r="F20" s="15"/>
      <c r="G20" s="15"/>
      <c r="H20" s="15"/>
      <c r="I20" s="13">
        <v>1498.32</v>
      </c>
      <c r="J20" s="8"/>
      <c r="K20" s="9"/>
      <c r="L20" s="9"/>
      <c r="M20" s="9"/>
      <c r="N20" s="9">
        <f>AVERAGE(I20:M20)</f>
        <v>1498.32</v>
      </c>
      <c r="O20" s="13">
        <f t="shared" si="4"/>
        <v>0</v>
      </c>
      <c r="P20" s="13">
        <f t="shared" si="0"/>
        <v>1498.32</v>
      </c>
      <c r="Q20" s="13">
        <f t="shared" si="1"/>
        <v>1498.32</v>
      </c>
      <c r="R20" s="9">
        <f t="shared" si="2"/>
        <v>1498.32</v>
      </c>
      <c r="S20" s="13">
        <f t="shared" si="5"/>
        <v>1498.32</v>
      </c>
      <c r="T20" s="13">
        <f t="shared" si="6"/>
        <v>1498.32</v>
      </c>
    </row>
    <row r="21" spans="1:20" ht="21" customHeight="1" thickBot="1" x14ac:dyDescent="0.3">
      <c r="A21" s="14" t="s">
        <v>44</v>
      </c>
      <c r="B21" s="19" t="s">
        <v>62</v>
      </c>
      <c r="C21" s="11" t="s">
        <v>147</v>
      </c>
      <c r="D21" s="14" t="s">
        <v>35</v>
      </c>
      <c r="E21" s="14">
        <v>1</v>
      </c>
      <c r="F21" s="15"/>
      <c r="G21" s="15"/>
      <c r="H21" s="15"/>
      <c r="I21" s="13">
        <v>31.91</v>
      </c>
      <c r="J21" s="8"/>
      <c r="K21" s="9"/>
      <c r="L21" s="9"/>
      <c r="M21" s="9"/>
      <c r="N21" s="9">
        <f t="shared" si="3"/>
        <v>31.91</v>
      </c>
      <c r="O21" s="13">
        <f t="shared" si="4"/>
        <v>0</v>
      </c>
      <c r="P21" s="13">
        <f t="shared" si="0"/>
        <v>31.91</v>
      </c>
      <c r="Q21" s="13">
        <f t="shared" si="1"/>
        <v>31.91</v>
      </c>
      <c r="R21" s="9">
        <f t="shared" si="2"/>
        <v>31.91</v>
      </c>
      <c r="S21" s="13">
        <f t="shared" si="5"/>
        <v>31.91</v>
      </c>
      <c r="T21" s="13">
        <f t="shared" si="6"/>
        <v>31.91</v>
      </c>
    </row>
    <row r="22" spans="1:20" ht="20.25" customHeight="1" thickBot="1" x14ac:dyDescent="0.3">
      <c r="A22" s="14" t="s">
        <v>45</v>
      </c>
      <c r="B22" s="19" t="s">
        <v>107</v>
      </c>
      <c r="C22" s="11" t="s">
        <v>148</v>
      </c>
      <c r="D22" s="14" t="s">
        <v>35</v>
      </c>
      <c r="E22" s="14">
        <v>1</v>
      </c>
      <c r="F22" s="15"/>
      <c r="G22" s="15"/>
      <c r="H22" s="15"/>
      <c r="I22" s="13">
        <v>6.52</v>
      </c>
      <c r="J22" s="8"/>
      <c r="K22" s="9"/>
      <c r="L22" s="9"/>
      <c r="M22" s="9"/>
      <c r="N22" s="9">
        <f t="shared" si="3"/>
        <v>6.52</v>
      </c>
      <c r="O22" s="13">
        <f t="shared" si="4"/>
        <v>0</v>
      </c>
      <c r="P22" s="13">
        <f t="shared" si="0"/>
        <v>6.52</v>
      </c>
      <c r="Q22" s="13">
        <f t="shared" si="1"/>
        <v>6.52</v>
      </c>
      <c r="R22" s="9">
        <f t="shared" si="2"/>
        <v>6.52</v>
      </c>
      <c r="S22" s="13">
        <f t="shared" si="5"/>
        <v>6.52</v>
      </c>
      <c r="T22" s="13">
        <f t="shared" si="6"/>
        <v>6.52</v>
      </c>
    </row>
    <row r="23" spans="1:20" ht="21" customHeight="1" thickBot="1" x14ac:dyDescent="0.3">
      <c r="A23" s="7" t="s">
        <v>46</v>
      </c>
      <c r="B23" s="19" t="s">
        <v>263</v>
      </c>
      <c r="C23" s="11" t="s">
        <v>39</v>
      </c>
      <c r="D23" s="14" t="s">
        <v>35</v>
      </c>
      <c r="E23" s="43">
        <v>1</v>
      </c>
      <c r="F23" s="15">
        <f>28.74</f>
        <v>28.74</v>
      </c>
      <c r="G23" s="15"/>
      <c r="H23" s="15"/>
      <c r="I23" s="9"/>
      <c r="J23" s="8"/>
      <c r="K23" s="9"/>
      <c r="L23" s="9"/>
      <c r="M23" s="9"/>
      <c r="N23" s="9" t="e">
        <f t="shared" si="3"/>
        <v>#DIV/0!</v>
      </c>
      <c r="O23" s="13" t="e">
        <f t="shared" si="4"/>
        <v>#DIV/0!</v>
      </c>
      <c r="P23" s="13" t="e">
        <f t="shared" si="0"/>
        <v>#DIV/0!</v>
      </c>
      <c r="Q23" s="13" t="e">
        <f t="shared" si="1"/>
        <v>#DIV/0!</v>
      </c>
      <c r="R23" s="9">
        <f t="shared" si="2"/>
        <v>28.74</v>
      </c>
      <c r="S23" s="13">
        <f t="shared" si="5"/>
        <v>28.74</v>
      </c>
      <c r="T23" s="13">
        <f t="shared" si="6"/>
        <v>28.74</v>
      </c>
    </row>
    <row r="24" spans="1:20" ht="17.25" customHeight="1" thickBot="1" x14ac:dyDescent="0.3">
      <c r="A24" s="7" t="s">
        <v>47</v>
      </c>
      <c r="B24" s="19" t="s">
        <v>267</v>
      </c>
      <c r="C24" s="11" t="s">
        <v>66</v>
      </c>
      <c r="D24" s="14" t="s">
        <v>35</v>
      </c>
      <c r="E24" s="44">
        <v>1</v>
      </c>
      <c r="F24" s="15">
        <f>35.2</f>
        <v>35.200000000000003</v>
      </c>
      <c r="G24" s="15"/>
      <c r="H24" s="15"/>
      <c r="I24" s="9"/>
      <c r="J24" s="8"/>
      <c r="K24" s="9"/>
      <c r="L24" s="9"/>
      <c r="M24" s="9"/>
      <c r="N24" s="9" t="e">
        <f t="shared" si="3"/>
        <v>#DIV/0!</v>
      </c>
      <c r="O24" s="13" t="e">
        <f t="shared" si="4"/>
        <v>#DIV/0!</v>
      </c>
      <c r="P24" s="13" t="e">
        <f t="shared" si="0"/>
        <v>#DIV/0!</v>
      </c>
      <c r="Q24" s="13" t="e">
        <f t="shared" si="1"/>
        <v>#DIV/0!</v>
      </c>
      <c r="R24" s="9">
        <f t="shared" si="2"/>
        <v>35.200000000000003</v>
      </c>
      <c r="S24" s="13">
        <f t="shared" si="5"/>
        <v>35.200000000000003</v>
      </c>
      <c r="T24" s="13">
        <f t="shared" si="6"/>
        <v>35.200000000000003</v>
      </c>
    </row>
    <row r="25" spans="1:20" ht="18.75" customHeight="1" thickBot="1" x14ac:dyDescent="0.3">
      <c r="A25" s="14" t="s">
        <v>48</v>
      </c>
      <c r="B25" s="19" t="s">
        <v>36</v>
      </c>
      <c r="C25" s="11" t="s">
        <v>37</v>
      </c>
      <c r="D25" s="14" t="s">
        <v>35</v>
      </c>
      <c r="E25" s="44">
        <v>2</v>
      </c>
      <c r="F25" s="15"/>
      <c r="G25" s="15"/>
      <c r="H25" s="15">
        <v>2.75</v>
      </c>
      <c r="I25" s="13"/>
      <c r="J25" s="8"/>
      <c r="K25" s="9"/>
      <c r="L25" s="9"/>
      <c r="M25" s="9"/>
      <c r="N25" s="9" t="e">
        <f t="shared" si="3"/>
        <v>#DIV/0!</v>
      </c>
      <c r="O25" s="13" t="e">
        <f t="shared" si="4"/>
        <v>#DIV/0!</v>
      </c>
      <c r="P25" s="13" t="e">
        <f t="shared" si="0"/>
        <v>#DIV/0!</v>
      </c>
      <c r="Q25" s="13" t="e">
        <f t="shared" si="1"/>
        <v>#DIV/0!</v>
      </c>
      <c r="R25" s="9">
        <f t="shared" si="2"/>
        <v>2.75</v>
      </c>
      <c r="S25" s="13">
        <f t="shared" si="5"/>
        <v>2.75</v>
      </c>
      <c r="T25" s="9">
        <f t="shared" si="6"/>
        <v>5.5</v>
      </c>
    </row>
    <row r="26" spans="1:20" ht="21" customHeight="1" thickBot="1" x14ac:dyDescent="0.3">
      <c r="A26" s="7" t="s">
        <v>49</v>
      </c>
      <c r="B26" s="19" t="s">
        <v>268</v>
      </c>
      <c r="C26" s="11" t="s">
        <v>67</v>
      </c>
      <c r="D26" s="14" t="s">
        <v>35</v>
      </c>
      <c r="E26" s="14">
        <v>1</v>
      </c>
      <c r="F26" s="15"/>
      <c r="G26" s="15"/>
      <c r="H26" s="15">
        <f>101.07</f>
        <v>101.07</v>
      </c>
      <c r="I26" s="9"/>
      <c r="J26" s="8"/>
      <c r="K26" s="9"/>
      <c r="L26" s="9"/>
      <c r="M26" s="9"/>
      <c r="N26" s="9" t="e">
        <f t="shared" si="3"/>
        <v>#DIV/0!</v>
      </c>
      <c r="O26" s="13" t="e">
        <f t="shared" si="4"/>
        <v>#DIV/0!</v>
      </c>
      <c r="P26" s="13" t="e">
        <f t="shared" si="0"/>
        <v>#DIV/0!</v>
      </c>
      <c r="Q26" s="13" t="e">
        <f t="shared" si="1"/>
        <v>#DIV/0!</v>
      </c>
      <c r="R26" s="9">
        <f t="shared" si="2"/>
        <v>101.07</v>
      </c>
      <c r="S26" s="13">
        <f t="shared" si="5"/>
        <v>101.07</v>
      </c>
      <c r="T26" s="9">
        <f t="shared" si="6"/>
        <v>101.07</v>
      </c>
    </row>
    <row r="27" spans="1:20" ht="16.5" customHeight="1" thickBot="1" x14ac:dyDescent="0.3">
      <c r="A27" s="7" t="s">
        <v>50</v>
      </c>
      <c r="B27" s="19" t="s">
        <v>269</v>
      </c>
      <c r="C27" s="11" t="s">
        <v>68</v>
      </c>
      <c r="D27" s="14" t="s">
        <v>35</v>
      </c>
      <c r="E27" s="14">
        <v>2</v>
      </c>
      <c r="F27" s="15"/>
      <c r="G27" s="15"/>
      <c r="H27" s="15">
        <f>12.18</f>
        <v>12.18</v>
      </c>
      <c r="I27" s="52"/>
      <c r="J27" s="8"/>
      <c r="K27" s="9"/>
      <c r="L27" s="9"/>
      <c r="M27" s="9"/>
      <c r="N27" s="9" t="e">
        <f t="shared" si="3"/>
        <v>#DIV/0!</v>
      </c>
      <c r="O27" s="13" t="e">
        <f t="shared" si="4"/>
        <v>#DIV/0!</v>
      </c>
      <c r="P27" s="13" t="e">
        <f t="shared" si="0"/>
        <v>#DIV/0!</v>
      </c>
      <c r="Q27" s="13" t="e">
        <f t="shared" si="1"/>
        <v>#DIV/0!</v>
      </c>
      <c r="R27" s="9">
        <f t="shared" si="2"/>
        <v>12.18</v>
      </c>
      <c r="S27" s="13">
        <f t="shared" si="5"/>
        <v>12.18</v>
      </c>
      <c r="T27" s="9">
        <f t="shared" si="6"/>
        <v>24.36</v>
      </c>
    </row>
    <row r="28" spans="1:20" ht="18.75" customHeight="1" thickBot="1" x14ac:dyDescent="0.3">
      <c r="A28" s="7" t="s">
        <v>51</v>
      </c>
      <c r="B28" s="19" t="s">
        <v>270</v>
      </c>
      <c r="C28" s="11" t="s">
        <v>69</v>
      </c>
      <c r="D28" s="14" t="s">
        <v>35</v>
      </c>
      <c r="E28" s="14">
        <v>1</v>
      </c>
      <c r="F28" s="15">
        <f>1.22</f>
        <v>1.22</v>
      </c>
      <c r="G28" s="15"/>
      <c r="H28" s="15"/>
      <c r="I28" s="9"/>
      <c r="J28" s="8"/>
      <c r="K28" s="9"/>
      <c r="L28" s="9"/>
      <c r="M28" s="9"/>
      <c r="N28" s="9" t="e">
        <f t="shared" si="3"/>
        <v>#DIV/0!</v>
      </c>
      <c r="O28" s="13" t="e">
        <f t="shared" si="4"/>
        <v>#DIV/0!</v>
      </c>
      <c r="P28" s="13" t="e">
        <f t="shared" si="0"/>
        <v>#DIV/0!</v>
      </c>
      <c r="Q28" s="13" t="e">
        <f t="shared" si="1"/>
        <v>#DIV/0!</v>
      </c>
      <c r="R28" s="9">
        <f t="shared" si="2"/>
        <v>1.22</v>
      </c>
      <c r="S28" s="13">
        <f t="shared" si="5"/>
        <v>1.22</v>
      </c>
      <c r="T28" s="9">
        <f t="shared" si="6"/>
        <v>1.22</v>
      </c>
    </row>
    <row r="29" spans="1:20" ht="18.75" customHeight="1" thickBot="1" x14ac:dyDescent="0.3">
      <c r="A29" s="7" t="s">
        <v>52</v>
      </c>
      <c r="B29" s="19" t="s">
        <v>271</v>
      </c>
      <c r="C29" s="11" t="s">
        <v>70</v>
      </c>
      <c r="D29" s="14" t="s">
        <v>35</v>
      </c>
      <c r="E29" s="14">
        <v>1</v>
      </c>
      <c r="F29" s="15">
        <f>6.4</f>
        <v>6.4</v>
      </c>
      <c r="G29" s="15"/>
      <c r="H29" s="15"/>
      <c r="I29" s="9"/>
      <c r="J29" s="8"/>
      <c r="K29" s="9"/>
      <c r="L29" s="9"/>
      <c r="M29" s="9"/>
      <c r="N29" s="9" t="e">
        <f t="shared" si="3"/>
        <v>#DIV/0!</v>
      </c>
      <c r="O29" s="13" t="e">
        <f t="shared" si="4"/>
        <v>#DIV/0!</v>
      </c>
      <c r="P29" s="13" t="e">
        <f t="shared" si="0"/>
        <v>#DIV/0!</v>
      </c>
      <c r="Q29" s="13" t="e">
        <f t="shared" si="1"/>
        <v>#DIV/0!</v>
      </c>
      <c r="R29" s="9">
        <f t="shared" si="2"/>
        <v>6.4</v>
      </c>
      <c r="S29" s="13">
        <f t="shared" si="5"/>
        <v>6.4</v>
      </c>
      <c r="T29" s="9">
        <f t="shared" si="6"/>
        <v>6.4</v>
      </c>
    </row>
    <row r="30" spans="1:20" ht="20.25" customHeight="1" thickBot="1" x14ac:dyDescent="0.3">
      <c r="A30" s="7" t="s">
        <v>53</v>
      </c>
      <c r="B30" s="19" t="s">
        <v>272</v>
      </c>
      <c r="C30" s="11" t="s">
        <v>71</v>
      </c>
      <c r="D30" s="14" t="s">
        <v>35</v>
      </c>
      <c r="E30" s="14">
        <v>1</v>
      </c>
      <c r="F30" s="15">
        <f>104.89</f>
        <v>104.89</v>
      </c>
      <c r="G30" s="15"/>
      <c r="H30" s="15"/>
      <c r="I30" s="9"/>
      <c r="J30" s="8"/>
      <c r="K30" s="9"/>
      <c r="L30" s="9"/>
      <c r="M30" s="9"/>
      <c r="N30" s="9" t="e">
        <f t="shared" si="3"/>
        <v>#DIV/0!</v>
      </c>
      <c r="O30" s="13" t="e">
        <f t="shared" si="4"/>
        <v>#DIV/0!</v>
      </c>
      <c r="P30" s="13" t="e">
        <f t="shared" si="0"/>
        <v>#DIV/0!</v>
      </c>
      <c r="Q30" s="13" t="e">
        <f t="shared" si="1"/>
        <v>#DIV/0!</v>
      </c>
      <c r="R30" s="9">
        <f t="shared" si="2"/>
        <v>104.89</v>
      </c>
      <c r="S30" s="13">
        <f t="shared" si="5"/>
        <v>104.89</v>
      </c>
      <c r="T30" s="9">
        <f t="shared" si="6"/>
        <v>104.89</v>
      </c>
    </row>
    <row r="31" spans="1:20" ht="18.75" customHeight="1" thickBot="1" x14ac:dyDescent="0.3">
      <c r="A31" s="14" t="s">
        <v>54</v>
      </c>
      <c r="B31" s="19" t="s">
        <v>72</v>
      </c>
      <c r="C31" s="11" t="s">
        <v>73</v>
      </c>
      <c r="D31" s="14" t="s">
        <v>35</v>
      </c>
      <c r="E31" s="14">
        <v>1</v>
      </c>
      <c r="F31" s="15"/>
      <c r="G31" s="15"/>
      <c r="H31" s="15">
        <v>59.77</v>
      </c>
      <c r="I31" s="13"/>
      <c r="J31" s="8"/>
      <c r="K31" s="9"/>
      <c r="L31" s="9"/>
      <c r="M31" s="9"/>
      <c r="N31" s="9" t="e">
        <f t="shared" si="3"/>
        <v>#DIV/0!</v>
      </c>
      <c r="O31" s="13" t="e">
        <f t="shared" si="4"/>
        <v>#DIV/0!</v>
      </c>
      <c r="P31" s="13" t="e">
        <f t="shared" si="0"/>
        <v>#DIV/0!</v>
      </c>
      <c r="Q31" s="13" t="e">
        <f t="shared" si="1"/>
        <v>#DIV/0!</v>
      </c>
      <c r="R31" s="9">
        <f t="shared" si="2"/>
        <v>59.77</v>
      </c>
      <c r="S31" s="13">
        <f t="shared" si="5"/>
        <v>59.77</v>
      </c>
      <c r="T31" s="9">
        <f t="shared" si="6"/>
        <v>59.77</v>
      </c>
    </row>
    <row r="32" spans="1:20" ht="21" customHeight="1" thickBot="1" x14ac:dyDescent="0.3">
      <c r="A32" s="7" t="s">
        <v>55</v>
      </c>
      <c r="B32" s="19" t="s">
        <v>64</v>
      </c>
      <c r="C32" s="11" t="s">
        <v>65</v>
      </c>
      <c r="D32" s="14" t="s">
        <v>32</v>
      </c>
      <c r="E32" s="14">
        <v>2</v>
      </c>
      <c r="F32" s="15">
        <f>19</f>
        <v>19</v>
      </c>
      <c r="G32" s="15"/>
      <c r="H32" s="15"/>
      <c r="I32" s="9"/>
      <c r="J32" s="8"/>
      <c r="K32" s="9"/>
      <c r="L32" s="9"/>
      <c r="M32" s="9"/>
      <c r="N32" s="9" t="e">
        <f t="shared" si="3"/>
        <v>#DIV/0!</v>
      </c>
      <c r="O32" s="13" t="e">
        <f t="shared" si="4"/>
        <v>#DIV/0!</v>
      </c>
      <c r="P32" s="13" t="e">
        <f t="shared" si="0"/>
        <v>#DIV/0!</v>
      </c>
      <c r="Q32" s="13" t="e">
        <f t="shared" si="1"/>
        <v>#DIV/0!</v>
      </c>
      <c r="R32" s="9">
        <f t="shared" si="2"/>
        <v>19</v>
      </c>
      <c r="S32" s="13">
        <f t="shared" si="5"/>
        <v>19</v>
      </c>
      <c r="T32" s="9">
        <f t="shared" si="6"/>
        <v>38</v>
      </c>
    </row>
    <row r="33" spans="1:20" ht="20.25" customHeight="1" thickBot="1" x14ac:dyDescent="0.3">
      <c r="A33" s="14" t="s">
        <v>56</v>
      </c>
      <c r="B33" s="19" t="s">
        <v>114</v>
      </c>
      <c r="C33" s="11" t="s">
        <v>149</v>
      </c>
      <c r="D33" s="14" t="s">
        <v>35</v>
      </c>
      <c r="E33" s="14">
        <v>1</v>
      </c>
      <c r="F33" s="15"/>
      <c r="G33" s="15"/>
      <c r="H33" s="15">
        <v>80.81</v>
      </c>
      <c r="I33" s="9"/>
      <c r="J33" s="8"/>
      <c r="K33" s="9"/>
      <c r="L33" s="9"/>
      <c r="M33" s="9"/>
      <c r="N33" s="9" t="e">
        <f t="shared" si="3"/>
        <v>#DIV/0!</v>
      </c>
      <c r="O33" s="13" t="e">
        <f t="shared" si="4"/>
        <v>#DIV/0!</v>
      </c>
      <c r="P33" s="13" t="e">
        <f t="shared" si="0"/>
        <v>#DIV/0!</v>
      </c>
      <c r="Q33" s="13" t="e">
        <f t="shared" si="1"/>
        <v>#DIV/0!</v>
      </c>
      <c r="R33" s="9">
        <f t="shared" si="2"/>
        <v>80.81</v>
      </c>
      <c r="S33" s="13">
        <f t="shared" si="5"/>
        <v>80.81</v>
      </c>
      <c r="T33" s="9">
        <f t="shared" si="6"/>
        <v>80.81</v>
      </c>
    </row>
    <row r="34" spans="1:20" ht="33" customHeight="1" thickBot="1" x14ac:dyDescent="0.3">
      <c r="A34" s="7" t="s">
        <v>57</v>
      </c>
      <c r="B34" s="19" t="s">
        <v>273</v>
      </c>
      <c r="C34" s="11" t="s">
        <v>74</v>
      </c>
      <c r="D34" s="14" t="s">
        <v>35</v>
      </c>
      <c r="E34" s="14">
        <v>75</v>
      </c>
      <c r="F34" s="15">
        <f>2.41</f>
        <v>2.41</v>
      </c>
      <c r="G34" s="15"/>
      <c r="H34" s="15"/>
      <c r="I34" s="9"/>
      <c r="J34" s="8"/>
      <c r="K34" s="9"/>
      <c r="L34" s="9"/>
      <c r="M34" s="9"/>
      <c r="N34" s="9" t="e">
        <f t="shared" si="3"/>
        <v>#DIV/0!</v>
      </c>
      <c r="O34" s="13" t="e">
        <f t="shared" si="4"/>
        <v>#DIV/0!</v>
      </c>
      <c r="P34" s="13" t="e">
        <f t="shared" si="0"/>
        <v>#DIV/0!</v>
      </c>
      <c r="Q34" s="13" t="e">
        <f t="shared" si="1"/>
        <v>#DIV/0!</v>
      </c>
      <c r="R34" s="9">
        <f t="shared" si="2"/>
        <v>2.41</v>
      </c>
      <c r="S34" s="13">
        <f t="shared" si="5"/>
        <v>2.41</v>
      </c>
      <c r="T34" s="9">
        <f t="shared" si="6"/>
        <v>180.75</v>
      </c>
    </row>
    <row r="35" spans="1:20" ht="20.25" customHeight="1" thickBot="1" x14ac:dyDescent="0.3">
      <c r="A35" s="14" t="s">
        <v>58</v>
      </c>
      <c r="B35" s="19" t="s">
        <v>150</v>
      </c>
      <c r="C35" s="11" t="s">
        <v>151</v>
      </c>
      <c r="D35" s="14" t="s">
        <v>35</v>
      </c>
      <c r="E35" s="14">
        <v>1</v>
      </c>
      <c r="F35" s="15"/>
      <c r="G35" s="15"/>
      <c r="H35" s="15"/>
      <c r="I35" s="51">
        <v>207.89</v>
      </c>
      <c r="J35" s="8"/>
      <c r="K35" s="9"/>
      <c r="L35" s="9"/>
      <c r="M35" s="9"/>
      <c r="N35" s="9">
        <f t="shared" si="3"/>
        <v>207.89</v>
      </c>
      <c r="O35" s="13">
        <f t="shared" si="4"/>
        <v>0</v>
      </c>
      <c r="P35" s="13">
        <f t="shared" si="0"/>
        <v>207.89</v>
      </c>
      <c r="Q35" s="13">
        <f t="shared" si="1"/>
        <v>207.89</v>
      </c>
      <c r="R35" s="9">
        <f t="shared" si="2"/>
        <v>207.89</v>
      </c>
      <c r="S35" s="13">
        <f t="shared" si="5"/>
        <v>207.89</v>
      </c>
      <c r="T35" s="9">
        <f t="shared" si="6"/>
        <v>207.89</v>
      </c>
    </row>
    <row r="36" spans="1:20" ht="21" customHeight="1" thickBot="1" x14ac:dyDescent="0.3">
      <c r="A36" s="14" t="s">
        <v>144</v>
      </c>
      <c r="B36" s="19" t="s">
        <v>76</v>
      </c>
      <c r="C36" s="11" t="s">
        <v>77</v>
      </c>
      <c r="D36" s="14" t="s">
        <v>35</v>
      </c>
      <c r="E36" s="14">
        <v>1</v>
      </c>
      <c r="F36" s="15">
        <v>10.54</v>
      </c>
      <c r="G36" s="15"/>
      <c r="H36" s="15"/>
      <c r="I36" s="13"/>
      <c r="J36" s="8"/>
      <c r="K36" s="9"/>
      <c r="L36" s="9"/>
      <c r="M36" s="9"/>
      <c r="N36" s="9" t="e">
        <f t="shared" ref="N36:N37" si="7">AVERAGE(I36:M36)</f>
        <v>#DIV/0!</v>
      </c>
      <c r="O36" s="13" t="e">
        <f t="shared" ref="O36:O37" si="8">STDEVPA(I36:M36)</f>
        <v>#DIV/0!</v>
      </c>
      <c r="P36" s="13" t="e">
        <f t="shared" ref="P36:P37" si="9">N36+O36</f>
        <v>#DIV/0!</v>
      </c>
      <c r="Q36" s="13" t="e">
        <f t="shared" ref="Q36:Q37" si="10">N36-O36</f>
        <v>#DIV/0!</v>
      </c>
      <c r="R36" s="9">
        <f t="shared" ref="R36:R37" si="11">IF(F36&gt;0,F36,IF(G36&gt;0,G36,IF(H36&gt;0,H36,AVERAGEIFS(I36:M36,I36:M36,"&gt;="&amp;Q36,I36:M36,"&lt;="&amp;P36))))</f>
        <v>10.54</v>
      </c>
      <c r="S36" s="13">
        <f t="shared" ref="S36:S37" si="12">IF(F36&gt;0,F36,IF(G36&gt;0,G36,IF(H36&gt;0,H36,MEDIAN(I36:M36))))</f>
        <v>10.54</v>
      </c>
      <c r="T36" s="9">
        <f t="shared" ref="T36:T37" si="13">IF(R36&gt;S36,S36*E36,R36*E36)</f>
        <v>10.54</v>
      </c>
    </row>
    <row r="37" spans="1:20" ht="19.5" customHeight="1" thickBot="1" x14ac:dyDescent="0.3">
      <c r="A37" s="14" t="s">
        <v>145</v>
      </c>
      <c r="B37" s="19" t="s">
        <v>78</v>
      </c>
      <c r="C37" s="11" t="s">
        <v>79</v>
      </c>
      <c r="D37" s="14" t="s">
        <v>35</v>
      </c>
      <c r="E37" s="14">
        <v>1</v>
      </c>
      <c r="F37" s="15"/>
      <c r="G37" s="15"/>
      <c r="H37" s="15">
        <v>10.8</v>
      </c>
      <c r="I37" s="13"/>
      <c r="J37" s="8"/>
      <c r="K37" s="9"/>
      <c r="L37" s="9"/>
      <c r="M37" s="9"/>
      <c r="N37" s="9" t="e">
        <f t="shared" si="7"/>
        <v>#DIV/0!</v>
      </c>
      <c r="O37" s="13" t="e">
        <f t="shared" si="8"/>
        <v>#DIV/0!</v>
      </c>
      <c r="P37" s="13" t="e">
        <f t="shared" si="9"/>
        <v>#DIV/0!</v>
      </c>
      <c r="Q37" s="13" t="e">
        <f t="shared" si="10"/>
        <v>#DIV/0!</v>
      </c>
      <c r="R37" s="9">
        <f t="shared" si="11"/>
        <v>10.8</v>
      </c>
      <c r="S37" s="13">
        <f t="shared" si="12"/>
        <v>10.8</v>
      </c>
      <c r="T37" s="9">
        <f t="shared" si="13"/>
        <v>10.8</v>
      </c>
    </row>
    <row r="38" spans="1:20" ht="18" customHeight="1" thickBot="1" x14ac:dyDescent="0.3">
      <c r="A38" s="57" t="s">
        <v>59</v>
      </c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9"/>
    </row>
    <row r="39" spans="1:20" ht="20.25" customHeight="1" thickBot="1" x14ac:dyDescent="0.3">
      <c r="A39" s="7" t="s">
        <v>80</v>
      </c>
      <c r="B39" s="19" t="s">
        <v>258</v>
      </c>
      <c r="C39" s="11" t="s">
        <v>31</v>
      </c>
      <c r="D39" s="14" t="s">
        <v>32</v>
      </c>
      <c r="E39" s="14">
        <v>123</v>
      </c>
      <c r="F39" s="15"/>
      <c r="G39" s="15"/>
      <c r="H39" s="15">
        <f>19.96</f>
        <v>19.96</v>
      </c>
      <c r="I39" s="8"/>
      <c r="J39" s="8"/>
      <c r="K39" s="9"/>
      <c r="L39" s="9"/>
      <c r="M39" s="9"/>
      <c r="N39" s="9" t="e">
        <f t="shared" si="3"/>
        <v>#DIV/0!</v>
      </c>
      <c r="O39" s="13" t="e">
        <f t="shared" si="4"/>
        <v>#DIV/0!</v>
      </c>
      <c r="P39" s="13" t="e">
        <f t="shared" si="0"/>
        <v>#DIV/0!</v>
      </c>
      <c r="Q39" s="13" t="e">
        <f t="shared" si="1"/>
        <v>#DIV/0!</v>
      </c>
      <c r="R39" s="9">
        <f t="shared" si="2"/>
        <v>19.96</v>
      </c>
      <c r="S39" s="13">
        <f t="shared" si="5"/>
        <v>19.96</v>
      </c>
      <c r="T39" s="9">
        <f t="shared" si="6"/>
        <v>2455.08</v>
      </c>
    </row>
    <row r="40" spans="1:20" ht="21" customHeight="1" thickBot="1" x14ac:dyDescent="0.3">
      <c r="A40" s="7" t="s">
        <v>81</v>
      </c>
      <c r="B40" s="19" t="s">
        <v>275</v>
      </c>
      <c r="C40" s="11" t="s">
        <v>102</v>
      </c>
      <c r="D40" s="14" t="s">
        <v>35</v>
      </c>
      <c r="E40" s="14">
        <v>3</v>
      </c>
      <c r="F40" s="15"/>
      <c r="G40" s="15"/>
      <c r="H40" s="15">
        <f>22.53</f>
        <v>22.53</v>
      </c>
      <c r="I40" s="8"/>
      <c r="J40" s="8"/>
      <c r="K40" s="9"/>
      <c r="L40" s="9"/>
      <c r="M40" s="9"/>
      <c r="N40" s="9" t="e">
        <f t="shared" si="3"/>
        <v>#DIV/0!</v>
      </c>
      <c r="O40" s="13" t="e">
        <f t="shared" si="4"/>
        <v>#DIV/0!</v>
      </c>
      <c r="P40" s="13" t="e">
        <f t="shared" si="0"/>
        <v>#DIV/0!</v>
      </c>
      <c r="Q40" s="13" t="e">
        <f t="shared" si="1"/>
        <v>#DIV/0!</v>
      </c>
      <c r="R40" s="9">
        <f t="shared" si="2"/>
        <v>22.53</v>
      </c>
      <c r="S40" s="13">
        <f t="shared" si="5"/>
        <v>22.53</v>
      </c>
      <c r="T40" s="9">
        <f t="shared" si="6"/>
        <v>67.59</v>
      </c>
    </row>
    <row r="41" spans="1:20" ht="22.5" customHeight="1" thickBot="1" x14ac:dyDescent="0.3">
      <c r="A41" s="57" t="s">
        <v>82</v>
      </c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9"/>
    </row>
    <row r="42" spans="1:20" ht="23.25" customHeight="1" thickBot="1" x14ac:dyDescent="0.3">
      <c r="A42" s="7" t="s">
        <v>83</v>
      </c>
      <c r="B42" s="19" t="s">
        <v>258</v>
      </c>
      <c r="C42" s="11" t="s">
        <v>31</v>
      </c>
      <c r="D42" s="14" t="s">
        <v>32</v>
      </c>
      <c r="E42" s="14">
        <v>132</v>
      </c>
      <c r="F42" s="15"/>
      <c r="G42" s="15"/>
      <c r="H42" s="15">
        <f>19.96</f>
        <v>19.96</v>
      </c>
      <c r="I42" s="9"/>
      <c r="J42" s="8"/>
      <c r="K42" s="9"/>
      <c r="L42" s="9"/>
      <c r="M42" s="9"/>
      <c r="N42" s="9" t="e">
        <f t="shared" si="3"/>
        <v>#DIV/0!</v>
      </c>
      <c r="O42" s="13" t="e">
        <f t="shared" si="4"/>
        <v>#DIV/0!</v>
      </c>
      <c r="P42" s="13" t="e">
        <f t="shared" si="0"/>
        <v>#DIV/0!</v>
      </c>
      <c r="Q42" s="13" t="e">
        <f t="shared" si="1"/>
        <v>#DIV/0!</v>
      </c>
      <c r="R42" s="9">
        <f t="shared" si="2"/>
        <v>19.96</v>
      </c>
      <c r="S42" s="13">
        <f t="shared" si="5"/>
        <v>19.96</v>
      </c>
      <c r="T42" s="9">
        <f t="shared" si="6"/>
        <v>2634.7200000000003</v>
      </c>
    </row>
    <row r="43" spans="1:20" ht="27" customHeight="1" thickBot="1" x14ac:dyDescent="0.3">
      <c r="A43" s="7" t="s">
        <v>84</v>
      </c>
      <c r="B43" s="19" t="s">
        <v>261</v>
      </c>
      <c r="C43" s="11" t="s">
        <v>38</v>
      </c>
      <c r="D43" s="14" t="s">
        <v>35</v>
      </c>
      <c r="E43" s="14">
        <v>5</v>
      </c>
      <c r="F43" s="15"/>
      <c r="G43" s="15"/>
      <c r="H43" s="15">
        <f>16.55</f>
        <v>16.55</v>
      </c>
      <c r="I43" s="9"/>
      <c r="J43" s="8"/>
      <c r="K43" s="9"/>
      <c r="L43" s="9"/>
      <c r="M43" s="9"/>
      <c r="N43" s="9" t="e">
        <f t="shared" si="3"/>
        <v>#DIV/0!</v>
      </c>
      <c r="O43" s="13" t="e">
        <f t="shared" si="4"/>
        <v>#DIV/0!</v>
      </c>
      <c r="P43" s="13" t="e">
        <f t="shared" si="0"/>
        <v>#DIV/0!</v>
      </c>
      <c r="Q43" s="13" t="e">
        <f t="shared" si="1"/>
        <v>#DIV/0!</v>
      </c>
      <c r="R43" s="9">
        <f t="shared" si="2"/>
        <v>16.55</v>
      </c>
      <c r="S43" s="13">
        <f t="shared" si="5"/>
        <v>16.55</v>
      </c>
      <c r="T43" s="9">
        <f t="shared" si="6"/>
        <v>82.75</v>
      </c>
    </row>
    <row r="44" spans="1:20" ht="27.75" customHeight="1" thickBot="1" x14ac:dyDescent="0.3">
      <c r="A44" s="7" t="s">
        <v>85</v>
      </c>
      <c r="B44" s="19" t="s">
        <v>267</v>
      </c>
      <c r="C44" s="11" t="s">
        <v>66</v>
      </c>
      <c r="D44" s="14" t="s">
        <v>35</v>
      </c>
      <c r="E44" s="14">
        <v>4</v>
      </c>
      <c r="F44" s="15">
        <f>35.2</f>
        <v>35.200000000000003</v>
      </c>
      <c r="G44" s="15"/>
      <c r="H44" s="15"/>
      <c r="I44" s="9"/>
      <c r="J44" s="8"/>
      <c r="K44" s="9"/>
      <c r="L44" s="9"/>
      <c r="M44" s="9"/>
      <c r="N44" s="9" t="e">
        <f t="shared" si="3"/>
        <v>#DIV/0!</v>
      </c>
      <c r="O44" s="13" t="e">
        <f t="shared" si="4"/>
        <v>#DIV/0!</v>
      </c>
      <c r="P44" s="13" t="e">
        <f t="shared" si="0"/>
        <v>#DIV/0!</v>
      </c>
      <c r="Q44" s="13" t="e">
        <f t="shared" si="1"/>
        <v>#DIV/0!</v>
      </c>
      <c r="R44" s="9">
        <f t="shared" si="2"/>
        <v>35.200000000000003</v>
      </c>
      <c r="S44" s="13">
        <f t="shared" si="5"/>
        <v>35.200000000000003</v>
      </c>
      <c r="T44" s="9">
        <f t="shared" si="6"/>
        <v>140.80000000000001</v>
      </c>
    </row>
    <row r="45" spans="1:20" ht="27" customHeight="1" thickBot="1" x14ac:dyDescent="0.3">
      <c r="A45" s="7" t="s">
        <v>86</v>
      </c>
      <c r="B45" s="19" t="s">
        <v>276</v>
      </c>
      <c r="C45" s="11" t="s">
        <v>103</v>
      </c>
      <c r="D45" s="14" t="s">
        <v>35</v>
      </c>
      <c r="E45" s="14">
        <v>7</v>
      </c>
      <c r="F45" s="15"/>
      <c r="G45" s="15"/>
      <c r="H45" s="15">
        <f>16.82</f>
        <v>16.82</v>
      </c>
      <c r="I45" s="9"/>
      <c r="J45" s="8"/>
      <c r="K45" s="9"/>
      <c r="L45" s="9"/>
      <c r="M45" s="9"/>
      <c r="N45" s="9" t="e">
        <f t="shared" si="3"/>
        <v>#DIV/0!</v>
      </c>
      <c r="O45" s="13" t="e">
        <f t="shared" si="4"/>
        <v>#DIV/0!</v>
      </c>
      <c r="P45" s="13" t="e">
        <f t="shared" si="0"/>
        <v>#DIV/0!</v>
      </c>
      <c r="Q45" s="13" t="e">
        <f t="shared" si="1"/>
        <v>#DIV/0!</v>
      </c>
      <c r="R45" s="9">
        <f t="shared" si="2"/>
        <v>16.82</v>
      </c>
      <c r="S45" s="13">
        <f t="shared" si="5"/>
        <v>16.82</v>
      </c>
      <c r="T45" s="9">
        <f t="shared" si="6"/>
        <v>117.74000000000001</v>
      </c>
    </row>
    <row r="46" spans="1:20" ht="28.5" customHeight="1" thickBot="1" x14ac:dyDescent="0.3">
      <c r="A46" s="7" t="s">
        <v>87</v>
      </c>
      <c r="B46" s="19" t="s">
        <v>277</v>
      </c>
      <c r="C46" s="11" t="s">
        <v>104</v>
      </c>
      <c r="D46" s="14" t="s">
        <v>35</v>
      </c>
      <c r="E46" s="14">
        <v>4</v>
      </c>
      <c r="F46" s="15">
        <f>6.47</f>
        <v>6.47</v>
      </c>
      <c r="G46" s="15"/>
      <c r="H46" s="15"/>
      <c r="I46" s="9"/>
      <c r="J46" s="8"/>
      <c r="K46" s="9"/>
      <c r="L46" s="9"/>
      <c r="M46" s="9"/>
      <c r="N46" s="9" t="e">
        <f t="shared" si="3"/>
        <v>#DIV/0!</v>
      </c>
      <c r="O46" s="13" t="e">
        <f t="shared" si="4"/>
        <v>#DIV/0!</v>
      </c>
      <c r="P46" s="13" t="e">
        <f t="shared" si="0"/>
        <v>#DIV/0!</v>
      </c>
      <c r="Q46" s="13" t="e">
        <f t="shared" si="1"/>
        <v>#DIV/0!</v>
      </c>
      <c r="R46" s="9">
        <f t="shared" si="2"/>
        <v>6.47</v>
      </c>
      <c r="S46" s="13">
        <f t="shared" si="5"/>
        <v>6.47</v>
      </c>
      <c r="T46" s="9">
        <f t="shared" si="6"/>
        <v>25.88</v>
      </c>
    </row>
    <row r="47" spans="1:20" ht="24" customHeight="1" thickBot="1" x14ac:dyDescent="0.3">
      <c r="A47" s="14" t="s">
        <v>88</v>
      </c>
      <c r="B47" s="19" t="s">
        <v>105</v>
      </c>
      <c r="C47" s="11" t="s">
        <v>152</v>
      </c>
      <c r="D47" s="14" t="s">
        <v>35</v>
      </c>
      <c r="E47" s="14">
        <v>4</v>
      </c>
      <c r="F47" s="15">
        <v>1.58</v>
      </c>
      <c r="G47" s="15"/>
      <c r="H47" s="15"/>
      <c r="I47" s="13"/>
      <c r="J47" s="8"/>
      <c r="K47" s="9"/>
      <c r="L47" s="9"/>
      <c r="M47" s="9"/>
      <c r="N47" s="9" t="e">
        <f t="shared" si="3"/>
        <v>#DIV/0!</v>
      </c>
      <c r="O47" s="13" t="e">
        <f t="shared" si="4"/>
        <v>#DIV/0!</v>
      </c>
      <c r="P47" s="13" t="e">
        <f t="shared" si="0"/>
        <v>#DIV/0!</v>
      </c>
      <c r="Q47" s="13" t="e">
        <f t="shared" si="1"/>
        <v>#DIV/0!</v>
      </c>
      <c r="R47" s="9">
        <f t="shared" si="2"/>
        <v>1.58</v>
      </c>
      <c r="S47" s="13">
        <f t="shared" si="5"/>
        <v>1.58</v>
      </c>
      <c r="T47" s="9">
        <f t="shared" si="6"/>
        <v>6.32</v>
      </c>
    </row>
    <row r="48" spans="1:20" ht="23.25" customHeight="1" thickBot="1" x14ac:dyDescent="0.3">
      <c r="A48" s="14" t="s">
        <v>89</v>
      </c>
      <c r="B48" s="19" t="s">
        <v>72</v>
      </c>
      <c r="C48" s="11" t="s">
        <v>73</v>
      </c>
      <c r="D48" s="14" t="s">
        <v>35</v>
      </c>
      <c r="E48" s="14">
        <v>4</v>
      </c>
      <c r="F48" s="15"/>
      <c r="G48" s="15"/>
      <c r="H48" s="15">
        <v>59.77</v>
      </c>
      <c r="I48" s="13"/>
      <c r="J48" s="8"/>
      <c r="K48" s="9"/>
      <c r="L48" s="9"/>
      <c r="M48" s="9"/>
      <c r="N48" s="9" t="e">
        <f t="shared" si="3"/>
        <v>#DIV/0!</v>
      </c>
      <c r="O48" s="13" t="e">
        <f t="shared" si="4"/>
        <v>#DIV/0!</v>
      </c>
      <c r="P48" s="13" t="e">
        <f t="shared" si="0"/>
        <v>#DIV/0!</v>
      </c>
      <c r="Q48" s="13" t="e">
        <f t="shared" si="1"/>
        <v>#DIV/0!</v>
      </c>
      <c r="R48" s="9">
        <f t="shared" si="2"/>
        <v>59.77</v>
      </c>
      <c r="S48" s="13">
        <f t="shared" si="5"/>
        <v>59.77</v>
      </c>
      <c r="T48" s="9">
        <f t="shared" si="6"/>
        <v>239.08</v>
      </c>
    </row>
    <row r="49" spans="1:20" ht="21.75" customHeight="1" thickBot="1" x14ac:dyDescent="0.3">
      <c r="A49" s="14" t="s">
        <v>90</v>
      </c>
      <c r="B49" s="19" t="s">
        <v>153</v>
      </c>
      <c r="C49" s="11" t="s">
        <v>154</v>
      </c>
      <c r="D49" s="14" t="s">
        <v>35</v>
      </c>
      <c r="E49" s="14">
        <v>4</v>
      </c>
      <c r="F49" s="15"/>
      <c r="G49" s="15"/>
      <c r="H49" s="15">
        <v>6.07</v>
      </c>
      <c r="I49" s="13"/>
      <c r="J49" s="8"/>
      <c r="K49" s="9"/>
      <c r="L49" s="9"/>
      <c r="M49" s="9"/>
      <c r="N49" s="9" t="e">
        <f t="shared" si="3"/>
        <v>#DIV/0!</v>
      </c>
      <c r="O49" s="13" t="e">
        <f t="shared" si="4"/>
        <v>#DIV/0!</v>
      </c>
      <c r="P49" s="13" t="e">
        <f t="shared" si="0"/>
        <v>#DIV/0!</v>
      </c>
      <c r="Q49" s="13" t="e">
        <f t="shared" si="1"/>
        <v>#DIV/0!</v>
      </c>
      <c r="R49" s="9">
        <f t="shared" si="2"/>
        <v>6.07</v>
      </c>
      <c r="S49" s="13">
        <f t="shared" si="5"/>
        <v>6.07</v>
      </c>
      <c r="T49" s="9">
        <f t="shared" si="6"/>
        <v>24.28</v>
      </c>
    </row>
    <row r="50" spans="1:20" ht="24" customHeight="1" thickBot="1" x14ac:dyDescent="0.3">
      <c r="A50" s="14" t="s">
        <v>91</v>
      </c>
      <c r="B50" s="19" t="s">
        <v>110</v>
      </c>
      <c r="C50" s="11" t="s">
        <v>111</v>
      </c>
      <c r="D50" s="14" t="s">
        <v>35</v>
      </c>
      <c r="E50" s="14">
        <v>1</v>
      </c>
      <c r="F50" s="15"/>
      <c r="G50" s="15"/>
      <c r="H50" s="15"/>
      <c r="I50" s="13">
        <f>15.48/6</f>
        <v>2.58</v>
      </c>
      <c r="J50" s="8"/>
      <c r="K50" s="9"/>
      <c r="L50" s="9"/>
      <c r="M50" s="9"/>
      <c r="N50" s="9">
        <f t="shared" si="3"/>
        <v>2.58</v>
      </c>
      <c r="O50" s="13">
        <f t="shared" si="4"/>
        <v>0</v>
      </c>
      <c r="P50" s="13">
        <f t="shared" si="0"/>
        <v>2.58</v>
      </c>
      <c r="Q50" s="13">
        <f t="shared" si="1"/>
        <v>2.58</v>
      </c>
      <c r="R50" s="9">
        <f t="shared" si="2"/>
        <v>2.58</v>
      </c>
      <c r="S50" s="13">
        <f t="shared" si="5"/>
        <v>2.58</v>
      </c>
      <c r="T50" s="9">
        <f t="shared" si="6"/>
        <v>2.58</v>
      </c>
    </row>
    <row r="51" spans="1:20" ht="20.25" customHeight="1" thickBot="1" x14ac:dyDescent="0.3">
      <c r="A51" s="57" t="s">
        <v>92</v>
      </c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9"/>
    </row>
    <row r="52" spans="1:20" ht="23.25" customHeight="1" thickBot="1" x14ac:dyDescent="0.3">
      <c r="A52" s="14" t="s">
        <v>159</v>
      </c>
      <c r="B52" s="19" t="s">
        <v>160</v>
      </c>
      <c r="C52" s="11" t="s">
        <v>161</v>
      </c>
      <c r="D52" s="14" t="s">
        <v>32</v>
      </c>
      <c r="E52" s="14">
        <v>1600</v>
      </c>
      <c r="F52" s="15"/>
      <c r="G52" s="15"/>
      <c r="H52" s="15"/>
      <c r="I52" s="13">
        <f>455.05/500</f>
        <v>0.91010000000000002</v>
      </c>
      <c r="J52" s="8"/>
      <c r="K52" s="9"/>
      <c r="L52" s="9"/>
      <c r="M52" s="9"/>
      <c r="N52" s="9">
        <f t="shared" si="3"/>
        <v>0.91010000000000002</v>
      </c>
      <c r="O52" s="13">
        <f t="shared" si="4"/>
        <v>0</v>
      </c>
      <c r="P52" s="13">
        <f t="shared" si="0"/>
        <v>0.91010000000000002</v>
      </c>
      <c r="Q52" s="13">
        <f t="shared" si="1"/>
        <v>0.91010000000000002</v>
      </c>
      <c r="R52" s="9">
        <f t="shared" si="2"/>
        <v>0.91010000000000002</v>
      </c>
      <c r="S52" s="13">
        <f t="shared" si="5"/>
        <v>0.91010000000000002</v>
      </c>
      <c r="T52" s="9">
        <f t="shared" si="6"/>
        <v>1456.16</v>
      </c>
    </row>
    <row r="53" spans="1:20" ht="31.5" customHeight="1" thickBot="1" x14ac:dyDescent="0.3">
      <c r="A53" s="14" t="s">
        <v>94</v>
      </c>
      <c r="B53" s="19" t="s">
        <v>162</v>
      </c>
      <c r="C53" s="11" t="s">
        <v>163</v>
      </c>
      <c r="D53" s="14" t="s">
        <v>35</v>
      </c>
      <c r="E53" s="14">
        <v>80</v>
      </c>
      <c r="F53" s="15"/>
      <c r="G53" s="15"/>
      <c r="H53" s="15"/>
      <c r="I53" s="13">
        <v>0.74</v>
      </c>
      <c r="J53" s="8"/>
      <c r="K53" s="9"/>
      <c r="L53" s="9"/>
      <c r="M53" s="9"/>
      <c r="N53" s="9">
        <f t="shared" si="3"/>
        <v>0.74</v>
      </c>
      <c r="O53" s="13">
        <f t="shared" si="4"/>
        <v>0</v>
      </c>
      <c r="P53" s="13">
        <f t="shared" si="0"/>
        <v>0.74</v>
      </c>
      <c r="Q53" s="13">
        <f t="shared" si="1"/>
        <v>0.74</v>
      </c>
      <c r="R53" s="9">
        <f t="shared" si="2"/>
        <v>0.74</v>
      </c>
      <c r="S53" s="13">
        <f t="shared" si="5"/>
        <v>0.74</v>
      </c>
      <c r="T53" s="9">
        <f t="shared" si="6"/>
        <v>59.2</v>
      </c>
    </row>
    <row r="54" spans="1:20" ht="21.75" customHeight="1" thickBot="1" x14ac:dyDescent="0.3">
      <c r="A54" s="14" t="s">
        <v>95</v>
      </c>
      <c r="B54" s="19" t="s">
        <v>164</v>
      </c>
      <c r="C54" s="11" t="s">
        <v>165</v>
      </c>
      <c r="D54" s="14" t="s">
        <v>35</v>
      </c>
      <c r="E54" s="14">
        <v>80</v>
      </c>
      <c r="F54" s="15"/>
      <c r="G54" s="15"/>
      <c r="H54" s="15"/>
      <c r="I54" s="13">
        <v>0.89</v>
      </c>
      <c r="J54" s="8"/>
      <c r="K54" s="9"/>
      <c r="L54" s="9"/>
      <c r="M54" s="9"/>
      <c r="N54" s="9">
        <f t="shared" si="3"/>
        <v>0.89</v>
      </c>
      <c r="O54" s="13">
        <f t="shared" si="4"/>
        <v>0</v>
      </c>
      <c r="P54" s="13">
        <f t="shared" si="0"/>
        <v>0.89</v>
      </c>
      <c r="Q54" s="13">
        <f t="shared" si="1"/>
        <v>0.89</v>
      </c>
      <c r="R54" s="9">
        <f t="shared" si="2"/>
        <v>0.89</v>
      </c>
      <c r="S54" s="13">
        <f t="shared" si="5"/>
        <v>0.89</v>
      </c>
      <c r="T54" s="9">
        <f t="shared" si="6"/>
        <v>71.2</v>
      </c>
    </row>
    <row r="55" spans="1:20" ht="37.5" customHeight="1" thickBot="1" x14ac:dyDescent="0.3">
      <c r="A55" s="14" t="s">
        <v>96</v>
      </c>
      <c r="B55" s="19" t="s">
        <v>166</v>
      </c>
      <c r="C55" s="11" t="s">
        <v>167</v>
      </c>
      <c r="D55" s="14" t="s">
        <v>35</v>
      </c>
      <c r="E55" s="14">
        <v>560</v>
      </c>
      <c r="F55" s="15"/>
      <c r="G55" s="15"/>
      <c r="H55" s="15"/>
      <c r="I55" s="13">
        <v>0.78</v>
      </c>
      <c r="J55" s="8"/>
      <c r="K55" s="9"/>
      <c r="L55" s="9"/>
      <c r="M55" s="9"/>
      <c r="N55" s="9">
        <f t="shared" si="3"/>
        <v>0.78</v>
      </c>
      <c r="O55" s="13">
        <f t="shared" si="4"/>
        <v>0</v>
      </c>
      <c r="P55" s="13">
        <f t="shared" si="0"/>
        <v>0.78</v>
      </c>
      <c r="Q55" s="13">
        <f t="shared" si="1"/>
        <v>0.78</v>
      </c>
      <c r="R55" s="9">
        <f t="shared" si="2"/>
        <v>0.78</v>
      </c>
      <c r="S55" s="13">
        <f t="shared" si="5"/>
        <v>0.78</v>
      </c>
      <c r="T55" s="9">
        <f t="shared" si="6"/>
        <v>436.8</v>
      </c>
    </row>
    <row r="56" spans="1:20" ht="18.75" customHeight="1" thickBot="1" x14ac:dyDescent="0.3">
      <c r="A56" s="14" t="s">
        <v>97</v>
      </c>
      <c r="B56" s="19" t="s">
        <v>168</v>
      </c>
      <c r="C56" s="11" t="s">
        <v>169</v>
      </c>
      <c r="D56" s="14" t="s">
        <v>35</v>
      </c>
      <c r="E56" s="14">
        <v>560</v>
      </c>
      <c r="F56" s="15"/>
      <c r="G56" s="15"/>
      <c r="H56" s="15"/>
      <c r="I56" s="13">
        <v>0.17</v>
      </c>
      <c r="J56" s="8"/>
      <c r="K56" s="9"/>
      <c r="L56" s="9"/>
      <c r="M56" s="9"/>
      <c r="N56" s="9"/>
      <c r="O56" s="13"/>
      <c r="P56" s="13"/>
      <c r="Q56" s="13"/>
      <c r="R56" s="9"/>
      <c r="S56" s="13"/>
      <c r="T56" s="9"/>
    </row>
    <row r="57" spans="1:20" ht="19.5" customHeight="1" thickBot="1" x14ac:dyDescent="0.3">
      <c r="A57" s="14" t="s">
        <v>155</v>
      </c>
      <c r="B57" s="19" t="s">
        <v>170</v>
      </c>
      <c r="C57" s="11" t="s">
        <v>171</v>
      </c>
      <c r="D57" s="14" t="s">
        <v>35</v>
      </c>
      <c r="E57" s="14">
        <v>500</v>
      </c>
      <c r="F57" s="15"/>
      <c r="G57" s="15"/>
      <c r="H57" s="15"/>
      <c r="I57" s="13">
        <f>113.81/100</f>
        <v>1.1381000000000001</v>
      </c>
      <c r="J57" s="8"/>
      <c r="K57" s="9"/>
      <c r="L57" s="9"/>
      <c r="M57" s="9"/>
      <c r="N57" s="9"/>
      <c r="O57" s="13"/>
      <c r="P57" s="13"/>
      <c r="Q57" s="13"/>
      <c r="R57" s="9"/>
      <c r="S57" s="13"/>
      <c r="T57" s="9"/>
    </row>
    <row r="58" spans="1:20" ht="21.75" customHeight="1" thickBot="1" x14ac:dyDescent="0.3">
      <c r="A58" s="14" t="s">
        <v>156</v>
      </c>
      <c r="B58" s="19" t="s">
        <v>172</v>
      </c>
      <c r="C58" s="11" t="s">
        <v>173</v>
      </c>
      <c r="D58" s="14" t="s">
        <v>35</v>
      </c>
      <c r="E58" s="14">
        <v>560</v>
      </c>
      <c r="F58" s="15"/>
      <c r="G58" s="15"/>
      <c r="H58" s="15"/>
      <c r="I58" s="13">
        <v>1.21</v>
      </c>
      <c r="J58" s="8"/>
      <c r="K58" s="9"/>
      <c r="L58" s="9"/>
      <c r="M58" s="9"/>
      <c r="N58" s="9"/>
      <c r="O58" s="13"/>
      <c r="P58" s="13"/>
      <c r="Q58" s="13"/>
      <c r="R58" s="9"/>
      <c r="S58" s="13"/>
      <c r="T58" s="9"/>
    </row>
    <row r="59" spans="1:20" ht="21" customHeight="1" thickBot="1" x14ac:dyDescent="0.3">
      <c r="A59" s="14" t="s">
        <v>157</v>
      </c>
      <c r="B59" s="19" t="s">
        <v>174</v>
      </c>
      <c r="C59" s="11" t="s">
        <v>175</v>
      </c>
      <c r="D59" s="14" t="s">
        <v>35</v>
      </c>
      <c r="E59" s="14">
        <v>80</v>
      </c>
      <c r="F59" s="15"/>
      <c r="G59" s="15"/>
      <c r="H59" s="15"/>
      <c r="I59" s="13">
        <v>0.8</v>
      </c>
      <c r="J59" s="8"/>
      <c r="K59" s="9"/>
      <c r="L59" s="9"/>
      <c r="M59" s="9"/>
      <c r="N59" s="9"/>
      <c r="O59" s="13"/>
      <c r="P59" s="13"/>
      <c r="Q59" s="13"/>
      <c r="R59" s="9"/>
      <c r="S59" s="13"/>
      <c r="T59" s="9"/>
    </row>
    <row r="60" spans="1:20" ht="22.5" customHeight="1" thickBot="1" x14ac:dyDescent="0.3">
      <c r="A60" s="14" t="s">
        <v>158</v>
      </c>
      <c r="B60" s="19" t="s">
        <v>176</v>
      </c>
      <c r="C60" s="11" t="s">
        <v>177</v>
      </c>
      <c r="D60" s="14" t="s">
        <v>35</v>
      </c>
      <c r="E60" s="14">
        <v>3</v>
      </c>
      <c r="F60" s="15"/>
      <c r="G60" s="15"/>
      <c r="H60" s="15"/>
      <c r="I60" s="13">
        <v>0.76</v>
      </c>
      <c r="J60" s="8"/>
      <c r="K60" s="9"/>
      <c r="L60" s="9"/>
      <c r="M60" s="9"/>
      <c r="N60" s="9">
        <f t="shared" si="3"/>
        <v>0.76</v>
      </c>
      <c r="O60" s="13">
        <f t="shared" si="4"/>
        <v>0</v>
      </c>
      <c r="P60" s="13">
        <f t="shared" si="0"/>
        <v>0.76</v>
      </c>
      <c r="Q60" s="13">
        <f t="shared" si="1"/>
        <v>0.76</v>
      </c>
      <c r="R60" s="9">
        <f t="shared" si="2"/>
        <v>0.76</v>
      </c>
      <c r="S60" s="13">
        <f t="shared" si="5"/>
        <v>0.76</v>
      </c>
      <c r="T60" s="9">
        <f t="shared" si="6"/>
        <v>2.2800000000000002</v>
      </c>
    </row>
    <row r="61" spans="1:20" ht="23.25" customHeight="1" thickBot="1" x14ac:dyDescent="0.3">
      <c r="A61" s="57" t="s">
        <v>98</v>
      </c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9"/>
    </row>
    <row r="62" spans="1:20" ht="37.5" customHeight="1" thickBot="1" x14ac:dyDescent="0.3">
      <c r="A62" s="7" t="s">
        <v>93</v>
      </c>
      <c r="B62" s="19" t="s">
        <v>282</v>
      </c>
      <c r="C62" s="11" t="s">
        <v>116</v>
      </c>
      <c r="D62" s="14" t="s">
        <v>3</v>
      </c>
      <c r="E62" s="14">
        <v>3.1800000000000002E-2</v>
      </c>
      <c r="F62" s="15">
        <f>422.14</f>
        <v>422.14</v>
      </c>
      <c r="G62" s="15"/>
      <c r="H62" s="15"/>
      <c r="I62" s="15"/>
      <c r="J62" s="8"/>
      <c r="K62" s="9"/>
      <c r="L62" s="9"/>
      <c r="M62" s="9"/>
      <c r="N62" s="9" t="e">
        <f t="shared" si="3"/>
        <v>#DIV/0!</v>
      </c>
      <c r="O62" s="13" t="e">
        <f t="shared" si="4"/>
        <v>#DIV/0!</v>
      </c>
      <c r="P62" s="13" t="e">
        <f t="shared" si="0"/>
        <v>#DIV/0!</v>
      </c>
      <c r="Q62" s="13" t="e">
        <f t="shared" si="1"/>
        <v>#DIV/0!</v>
      </c>
      <c r="R62" s="9">
        <f t="shared" si="2"/>
        <v>422.14</v>
      </c>
      <c r="S62" s="13">
        <f t="shared" si="5"/>
        <v>422.14</v>
      </c>
      <c r="T62" s="9">
        <f t="shared" si="6"/>
        <v>13.424052</v>
      </c>
    </row>
    <row r="63" spans="1:20" ht="35.25" customHeight="1" thickBot="1" x14ac:dyDescent="0.3">
      <c r="A63" s="7" t="s">
        <v>99</v>
      </c>
      <c r="B63" s="19" t="s">
        <v>283</v>
      </c>
      <c r="C63" s="11" t="s">
        <v>117</v>
      </c>
      <c r="D63" s="14" t="s">
        <v>35</v>
      </c>
      <c r="E63" s="14">
        <v>1</v>
      </c>
      <c r="F63" s="15">
        <f>105.37</f>
        <v>105.37</v>
      </c>
      <c r="G63" s="15"/>
      <c r="H63" s="15"/>
      <c r="I63" s="15"/>
      <c r="J63" s="8"/>
      <c r="K63" s="9"/>
      <c r="L63" s="9"/>
      <c r="M63" s="9"/>
      <c r="N63" s="9" t="e">
        <f t="shared" si="3"/>
        <v>#DIV/0!</v>
      </c>
      <c r="O63" s="13" t="e">
        <f t="shared" si="4"/>
        <v>#DIV/0!</v>
      </c>
      <c r="P63" s="13" t="e">
        <f t="shared" si="0"/>
        <v>#DIV/0!</v>
      </c>
      <c r="Q63" s="13" t="e">
        <f t="shared" si="1"/>
        <v>#DIV/0!</v>
      </c>
      <c r="R63" s="9">
        <f t="shared" si="2"/>
        <v>105.37</v>
      </c>
      <c r="S63" s="13">
        <f t="shared" si="5"/>
        <v>105.37</v>
      </c>
      <c r="T63" s="9">
        <f t="shared" si="6"/>
        <v>105.37</v>
      </c>
    </row>
    <row r="64" spans="1:20" ht="20.25" customHeight="1" thickBot="1" x14ac:dyDescent="0.3">
      <c r="A64" s="7" t="s">
        <v>100</v>
      </c>
      <c r="B64" s="19" t="s">
        <v>284</v>
      </c>
      <c r="C64" s="11" t="s">
        <v>118</v>
      </c>
      <c r="D64" s="14" t="s">
        <v>35</v>
      </c>
      <c r="E64" s="14">
        <v>1</v>
      </c>
      <c r="F64" s="15">
        <f>85.96</f>
        <v>85.96</v>
      </c>
      <c r="G64" s="15"/>
      <c r="H64" s="15"/>
      <c r="I64" s="15"/>
      <c r="J64" s="8"/>
      <c r="K64" s="9"/>
      <c r="L64" s="9"/>
      <c r="M64" s="9"/>
      <c r="N64" s="9" t="e">
        <f t="shared" si="3"/>
        <v>#DIV/0!</v>
      </c>
      <c r="O64" s="13" t="e">
        <f t="shared" si="4"/>
        <v>#DIV/0!</v>
      </c>
      <c r="P64" s="13" t="e">
        <f t="shared" si="0"/>
        <v>#DIV/0!</v>
      </c>
      <c r="Q64" s="13" t="e">
        <f t="shared" si="1"/>
        <v>#DIV/0!</v>
      </c>
      <c r="R64" s="9">
        <f t="shared" si="2"/>
        <v>85.96</v>
      </c>
      <c r="S64" s="13">
        <f t="shared" si="5"/>
        <v>85.96</v>
      </c>
      <c r="T64" s="9">
        <f t="shared" si="6"/>
        <v>85.96</v>
      </c>
    </row>
    <row r="65" spans="1:20" ht="21.75" customHeight="1" thickBot="1" x14ac:dyDescent="0.3">
      <c r="A65" s="57" t="s">
        <v>101</v>
      </c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9"/>
    </row>
    <row r="66" spans="1:20" ht="18.75" customHeight="1" thickBot="1" x14ac:dyDescent="0.3">
      <c r="A66" s="7" t="s">
        <v>119</v>
      </c>
      <c r="B66" s="45">
        <v>122</v>
      </c>
      <c r="C66" s="11" t="s">
        <v>123</v>
      </c>
      <c r="D66" s="14" t="s">
        <v>35</v>
      </c>
      <c r="E66" s="14">
        <v>1</v>
      </c>
      <c r="F66" s="15">
        <f>51.93</f>
        <v>51.93</v>
      </c>
      <c r="G66" s="15"/>
      <c r="H66" s="15"/>
      <c r="I66" s="8"/>
      <c r="J66" s="8"/>
      <c r="K66" s="9"/>
      <c r="L66" s="9"/>
      <c r="M66" s="9"/>
      <c r="N66" s="9" t="e">
        <f t="shared" ref="N66:N69" si="14">AVERAGE(I66:M66)</f>
        <v>#DIV/0!</v>
      </c>
      <c r="O66" s="13" t="e">
        <f t="shared" ref="O66:O69" si="15">STDEVPA(I66:M66)</f>
        <v>#DIV/0!</v>
      </c>
      <c r="P66" s="13" t="e">
        <f>N66+O66</f>
        <v>#DIV/0!</v>
      </c>
      <c r="Q66" s="13" t="e">
        <f>N66-O66</f>
        <v>#DIV/0!</v>
      </c>
      <c r="R66" s="9">
        <f>IF(F66&gt;0,F66,IF(G66&gt;0,G66,IF(H66&gt;0,H66,AVERAGEIFS(I66:M66,I66:M66,"&gt;="&amp;Q66,I66:M66,"&lt;="&amp;P66))))</f>
        <v>51.93</v>
      </c>
      <c r="S66" s="13">
        <f t="shared" ref="S66:S69" si="16">IF(F66&gt;0,F66,IF(G66&gt;0,G66,IF(H66&gt;0,H66,MEDIAN(I66:M66))))</f>
        <v>51.93</v>
      </c>
      <c r="T66" s="9">
        <f t="shared" ref="T66:T69" si="17">IF(R66&gt;S66,S66*E66,R66*E66)</f>
        <v>51.93</v>
      </c>
    </row>
    <row r="67" spans="1:20" ht="17.25" customHeight="1" thickBot="1" x14ac:dyDescent="0.3">
      <c r="A67" s="7" t="s">
        <v>120</v>
      </c>
      <c r="B67" s="45">
        <v>20083</v>
      </c>
      <c r="C67" s="11" t="s">
        <v>178</v>
      </c>
      <c r="D67" s="14" t="s">
        <v>35</v>
      </c>
      <c r="E67" s="14">
        <v>1</v>
      </c>
      <c r="F67" s="15">
        <f>58.84</f>
        <v>58.84</v>
      </c>
      <c r="G67" s="15"/>
      <c r="H67" s="15"/>
      <c r="I67" s="8"/>
      <c r="J67" s="8"/>
      <c r="K67" s="9"/>
      <c r="L67" s="9"/>
      <c r="M67" s="9"/>
      <c r="N67" s="9" t="e">
        <f t="shared" si="14"/>
        <v>#DIV/0!</v>
      </c>
      <c r="O67" s="13" t="e">
        <f t="shared" si="15"/>
        <v>#DIV/0!</v>
      </c>
      <c r="P67" s="13" t="e">
        <f t="shared" ref="P67:P69" si="18">N67+O67</f>
        <v>#DIV/0!</v>
      </c>
      <c r="Q67" s="13" t="e">
        <f t="shared" ref="Q67:Q69" si="19">N67-O67</f>
        <v>#DIV/0!</v>
      </c>
      <c r="R67" s="9">
        <f t="shared" ref="R67:R69" si="20">IF(F67&gt;0,F67,IF(G67&gt;0,G67,IF(H67&gt;0,H67,AVERAGEIFS(I67:M67,I67:M67,"&gt;="&amp;Q67,I67:M67,"&lt;="&amp;P67))))</f>
        <v>58.84</v>
      </c>
      <c r="S67" s="13">
        <f t="shared" si="16"/>
        <v>58.84</v>
      </c>
      <c r="T67" s="9">
        <f t="shared" si="17"/>
        <v>58.84</v>
      </c>
    </row>
    <row r="68" spans="1:20" ht="19.5" customHeight="1" thickBot="1" x14ac:dyDescent="0.3">
      <c r="A68" s="14" t="s">
        <v>121</v>
      </c>
      <c r="B68" s="45" t="s">
        <v>179</v>
      </c>
      <c r="C68" s="11" t="s">
        <v>180</v>
      </c>
      <c r="D68" s="14" t="s">
        <v>35</v>
      </c>
      <c r="E68" s="14">
        <v>1</v>
      </c>
      <c r="F68" s="15">
        <v>2.8</v>
      </c>
      <c r="G68" s="15"/>
      <c r="H68" s="15"/>
      <c r="I68" s="15"/>
      <c r="J68" s="8"/>
      <c r="K68" s="9"/>
      <c r="L68" s="9"/>
      <c r="M68" s="9"/>
      <c r="N68" s="9" t="e">
        <f t="shared" si="14"/>
        <v>#DIV/0!</v>
      </c>
      <c r="O68" s="13" t="e">
        <f t="shared" si="15"/>
        <v>#DIV/0!</v>
      </c>
      <c r="P68" s="13" t="e">
        <f t="shared" si="18"/>
        <v>#DIV/0!</v>
      </c>
      <c r="Q68" s="13" t="e">
        <f t="shared" si="19"/>
        <v>#DIV/0!</v>
      </c>
      <c r="R68" s="9">
        <f t="shared" si="20"/>
        <v>2.8</v>
      </c>
      <c r="S68" s="13">
        <f t="shared" si="16"/>
        <v>2.8</v>
      </c>
      <c r="T68" s="9">
        <f t="shared" si="17"/>
        <v>2.8</v>
      </c>
    </row>
    <row r="69" spans="1:20" ht="18" customHeight="1" thickBot="1" x14ac:dyDescent="0.3">
      <c r="A69" s="7" t="s">
        <v>122</v>
      </c>
      <c r="B69" s="45">
        <v>38383</v>
      </c>
      <c r="C69" s="11" t="s">
        <v>127</v>
      </c>
      <c r="D69" s="14" t="s">
        <v>35</v>
      </c>
      <c r="E69" s="14">
        <v>13</v>
      </c>
      <c r="F69" s="15">
        <f>2.11</f>
        <v>2.11</v>
      </c>
      <c r="G69" s="15"/>
      <c r="H69" s="15"/>
      <c r="I69" s="8"/>
      <c r="J69" s="8"/>
      <c r="K69" s="9"/>
      <c r="L69" s="9"/>
      <c r="M69" s="9"/>
      <c r="N69" s="9" t="e">
        <f t="shared" si="14"/>
        <v>#DIV/0!</v>
      </c>
      <c r="O69" s="13" t="e">
        <f t="shared" si="15"/>
        <v>#DIV/0!</v>
      </c>
      <c r="P69" s="13" t="e">
        <f t="shared" si="18"/>
        <v>#DIV/0!</v>
      </c>
      <c r="Q69" s="13" t="e">
        <f t="shared" si="19"/>
        <v>#DIV/0!</v>
      </c>
      <c r="R69" s="9">
        <f t="shared" si="20"/>
        <v>2.11</v>
      </c>
      <c r="S69" s="13">
        <f t="shared" si="16"/>
        <v>2.11</v>
      </c>
      <c r="T69" s="9">
        <f t="shared" si="17"/>
        <v>27.43</v>
      </c>
    </row>
    <row r="70" spans="1:20" s="6" customFormat="1" ht="16.5" thickBot="1" x14ac:dyDescent="0.3">
      <c r="A70" s="64" t="s">
        <v>128</v>
      </c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</row>
    <row r="71" spans="1:20" s="6" customFormat="1" ht="16.5" thickBot="1" x14ac:dyDescent="0.3">
      <c r="A71" s="64" t="s">
        <v>129</v>
      </c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</row>
    <row r="72" spans="1:20" ht="42" customHeight="1" thickBot="1" x14ac:dyDescent="0.3">
      <c r="A72" s="7" t="s">
        <v>130</v>
      </c>
      <c r="B72" s="19" t="s">
        <v>285</v>
      </c>
      <c r="C72" s="11" t="s">
        <v>134</v>
      </c>
      <c r="D72" s="14" t="s">
        <v>135</v>
      </c>
      <c r="E72" s="14">
        <v>16</v>
      </c>
      <c r="F72" s="15">
        <f>22.7</f>
        <v>22.7</v>
      </c>
      <c r="G72" s="15"/>
      <c r="H72" s="15"/>
      <c r="I72" s="8"/>
      <c r="J72" s="8"/>
      <c r="K72" s="9"/>
      <c r="L72" s="9"/>
      <c r="M72" s="9"/>
      <c r="N72" s="9" t="e">
        <f t="shared" ref="N72:N73" si="21">AVERAGE(I72:M72)</f>
        <v>#DIV/0!</v>
      </c>
      <c r="O72" s="13" t="e">
        <f t="shared" ref="O72:O73" si="22">STDEVPA(I72:M72)</f>
        <v>#DIV/0!</v>
      </c>
      <c r="P72" s="13" t="e">
        <f t="shared" ref="P72:P73" si="23">N72+O72</f>
        <v>#DIV/0!</v>
      </c>
      <c r="Q72" s="13" t="e">
        <f t="shared" ref="Q72:Q73" si="24">N72-O72</f>
        <v>#DIV/0!</v>
      </c>
      <c r="R72" s="9">
        <f t="shared" ref="R72:R73" si="25">IF(F72&gt;0,F72,IF(G72&gt;0,G72,IF(H72&gt;0,H72,AVERAGEIFS(I72:M72,I72:M72,"&gt;="&amp;Q72,I72:M72,"&lt;="&amp;P72))))</f>
        <v>22.7</v>
      </c>
      <c r="S72" s="13">
        <f t="shared" ref="S72:S73" si="26">IF(F72&gt;0,F72,IF(G72&gt;0,G72,IF(H72&gt;0,H72,MEDIAN(I72:M72))))</f>
        <v>22.7</v>
      </c>
      <c r="T72" s="9">
        <f t="shared" ref="T72:T73" si="27">IF(R72&gt;S72,S72*E72,R72*E72)</f>
        <v>363.2</v>
      </c>
    </row>
    <row r="73" spans="1:20" ht="51.75" customHeight="1" thickBot="1" x14ac:dyDescent="0.3">
      <c r="A73" s="7" t="s">
        <v>131</v>
      </c>
      <c r="B73" s="19" t="s">
        <v>286</v>
      </c>
      <c r="C73" s="11" t="s">
        <v>137</v>
      </c>
      <c r="D73" s="14" t="s">
        <v>135</v>
      </c>
      <c r="E73" s="14">
        <v>32</v>
      </c>
      <c r="F73" s="15"/>
      <c r="G73" s="15"/>
      <c r="H73" s="15">
        <f>18.89</f>
        <v>18.89</v>
      </c>
      <c r="I73" s="8"/>
      <c r="J73" s="8"/>
      <c r="K73" s="9"/>
      <c r="L73" s="9"/>
      <c r="M73" s="9"/>
      <c r="N73" s="9" t="e">
        <f t="shared" si="21"/>
        <v>#DIV/0!</v>
      </c>
      <c r="O73" s="13" t="e">
        <f t="shared" si="22"/>
        <v>#DIV/0!</v>
      </c>
      <c r="P73" s="13" t="e">
        <f t="shared" si="23"/>
        <v>#DIV/0!</v>
      </c>
      <c r="Q73" s="13" t="e">
        <f t="shared" si="24"/>
        <v>#DIV/0!</v>
      </c>
      <c r="R73" s="9">
        <f t="shared" si="25"/>
        <v>18.89</v>
      </c>
      <c r="S73" s="13">
        <f t="shared" si="26"/>
        <v>18.89</v>
      </c>
      <c r="T73" s="9">
        <f t="shared" si="27"/>
        <v>604.48</v>
      </c>
    </row>
    <row r="74" spans="1:20" s="6" customFormat="1" ht="26.25" thickBot="1" x14ac:dyDescent="0.4">
      <c r="A74" s="61" t="s">
        <v>142</v>
      </c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3"/>
      <c r="T74" s="24">
        <f>SUM(T13:T73)</f>
        <v>11880.694052000001</v>
      </c>
    </row>
    <row r="75" spans="1:20" x14ac:dyDescent="0.25">
      <c r="A75" s="25"/>
      <c r="B75" s="25"/>
      <c r="C75" s="26"/>
      <c r="D75" s="26"/>
      <c r="E75" s="26"/>
      <c r="F75" s="27"/>
      <c r="G75" s="27"/>
      <c r="H75" s="27"/>
      <c r="I75" s="28"/>
      <c r="J75" s="28"/>
      <c r="K75" s="26"/>
      <c r="L75" s="26"/>
      <c r="M75" s="26"/>
      <c r="N75" s="26"/>
      <c r="O75" s="26"/>
      <c r="P75" s="26"/>
      <c r="Q75" s="26"/>
      <c r="R75" s="26"/>
      <c r="S75" s="27"/>
      <c r="T75" s="26"/>
    </row>
    <row r="76" spans="1:20" x14ac:dyDescent="0.25">
      <c r="A76" s="29" t="s">
        <v>15</v>
      </c>
      <c r="B76" s="30"/>
      <c r="C76" s="31"/>
      <c r="D76" s="31"/>
      <c r="E76" s="31"/>
      <c r="F76" s="32"/>
      <c r="G76" s="32"/>
      <c r="H76" s="32"/>
      <c r="I76" s="33"/>
      <c r="J76" s="33"/>
      <c r="K76" s="31"/>
      <c r="L76" s="31"/>
      <c r="M76" s="31"/>
      <c r="N76" s="31"/>
      <c r="O76" s="31"/>
      <c r="P76" s="31"/>
      <c r="Q76" s="31"/>
      <c r="R76" s="31"/>
      <c r="S76" s="32"/>
      <c r="T76" s="31"/>
    </row>
    <row r="77" spans="1:20" x14ac:dyDescent="0.25">
      <c r="A77" s="60" t="s">
        <v>299</v>
      </c>
      <c r="B77" s="60"/>
      <c r="C77" s="60"/>
      <c r="D77" s="60"/>
      <c r="E77" s="60"/>
      <c r="F77" s="60"/>
      <c r="G77" s="60"/>
      <c r="H77" s="60"/>
      <c r="I77" s="60"/>
      <c r="J77" s="33"/>
      <c r="K77" s="31"/>
      <c r="L77" s="31"/>
      <c r="M77" s="31"/>
      <c r="N77" s="31"/>
      <c r="O77" s="31"/>
      <c r="P77" s="31"/>
      <c r="Q77" s="31"/>
      <c r="R77" s="31"/>
      <c r="S77" s="32"/>
      <c r="T77" s="31"/>
    </row>
    <row r="78" spans="1:20" ht="15.75" customHeight="1" x14ac:dyDescent="0.25">
      <c r="A78" s="75" t="s">
        <v>300</v>
      </c>
      <c r="B78" s="60"/>
      <c r="C78" s="60"/>
      <c r="D78" s="60"/>
      <c r="E78" s="60"/>
      <c r="F78" s="60"/>
      <c r="G78" s="60"/>
      <c r="H78" s="60"/>
      <c r="I78" s="60"/>
      <c r="J78" s="33"/>
      <c r="K78" s="31"/>
      <c r="L78" s="31"/>
      <c r="M78" s="31"/>
      <c r="N78" s="31"/>
      <c r="O78" s="31"/>
      <c r="P78" s="31"/>
      <c r="Q78" s="31"/>
      <c r="R78" s="31"/>
      <c r="S78" s="32"/>
      <c r="T78" s="31"/>
    </row>
    <row r="79" spans="1:20" x14ac:dyDescent="0.25">
      <c r="A79" s="60"/>
      <c r="B79" s="60"/>
      <c r="C79" s="60"/>
      <c r="D79" s="60"/>
      <c r="E79" s="60"/>
      <c r="F79" s="60"/>
      <c r="G79" s="60"/>
      <c r="H79" s="60"/>
      <c r="I79" s="60"/>
    </row>
  </sheetData>
  <mergeCells count="31">
    <mergeCell ref="A77:I77"/>
    <mergeCell ref="A78:I78"/>
    <mergeCell ref="A79:I79"/>
    <mergeCell ref="A51:T51"/>
    <mergeCell ref="A61:T61"/>
    <mergeCell ref="A65:T65"/>
    <mergeCell ref="A70:T70"/>
    <mergeCell ref="A71:T71"/>
    <mergeCell ref="A74:S74"/>
    <mergeCell ref="A41:T41"/>
    <mergeCell ref="N9:N10"/>
    <mergeCell ref="O9:O10"/>
    <mergeCell ref="P9:P10"/>
    <mergeCell ref="Q9:Q10"/>
    <mergeCell ref="R9:R10"/>
    <mergeCell ref="S9:S10"/>
    <mergeCell ref="T9:T10"/>
    <mergeCell ref="A11:E11"/>
    <mergeCell ref="A12:T12"/>
    <mergeCell ref="A19:T19"/>
    <mergeCell ref="A38:T38"/>
    <mergeCell ref="A5:T5"/>
    <mergeCell ref="A6:T6"/>
    <mergeCell ref="A7:T7"/>
    <mergeCell ref="A9:A10"/>
    <mergeCell ref="B9:B10"/>
    <mergeCell ref="C9:C10"/>
    <mergeCell ref="D9:D10"/>
    <mergeCell ref="E9:E10"/>
    <mergeCell ref="F9:H9"/>
    <mergeCell ref="I9:M9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21" orientation="landscape" horizontalDpi="4294967294" verticalDpi="4294967294" r:id="rId1"/>
  <colBreaks count="1" manualBreakCount="1">
    <brk id="20" max="137" man="1"/>
  </colBreaks>
  <drawing r:id="rId2"/>
  <legacyDrawing r:id="rId3"/>
  <oleObjects>
    <mc:AlternateContent xmlns:mc="http://schemas.openxmlformats.org/markup-compatibility/2006">
      <mc:Choice Requires="x14">
        <oleObject shapeId="3174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742950</xdr:colOff>
                <xdr:row>2</xdr:row>
                <xdr:rowOff>171450</xdr:rowOff>
              </to>
            </anchor>
          </objectPr>
        </oleObject>
      </mc:Choice>
      <mc:Fallback>
        <oleObject shapeId="3174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81"/>
  <sheetViews>
    <sheetView view="pageBreakPreview" topLeftCell="D4" zoomScale="55" zoomScaleNormal="352" zoomScaleSheetLayoutView="55" workbookViewId="0">
      <selection activeCell="C36" sqref="C36"/>
    </sheetView>
  </sheetViews>
  <sheetFormatPr defaultRowHeight="15.75" x14ac:dyDescent="0.25"/>
  <cols>
    <col min="1" max="1" width="17.85546875" style="1" customWidth="1"/>
    <col min="2" max="2" width="20.140625" style="1" customWidth="1"/>
    <col min="3" max="3" width="75.85546875" style="3" customWidth="1"/>
    <col min="4" max="4" width="14.42578125" style="3" customWidth="1"/>
    <col min="5" max="5" width="12.7109375" style="3" customWidth="1"/>
    <col min="6" max="8" width="12.7109375" style="4" customWidth="1"/>
    <col min="9" max="9" width="30.28515625" style="5" customWidth="1"/>
    <col min="10" max="10" width="31.5703125" style="5" customWidth="1"/>
    <col min="11" max="11" width="53" style="3" customWidth="1"/>
    <col min="12" max="12" width="91.140625" style="3" customWidth="1"/>
    <col min="13" max="13" width="47" style="3" customWidth="1"/>
    <col min="14" max="18" width="33.5703125" style="3" customWidth="1"/>
    <col min="19" max="19" width="33.5703125" style="4" customWidth="1"/>
    <col min="20" max="20" width="33.5703125" style="3" customWidth="1"/>
    <col min="21" max="16384" width="9.140625" style="3"/>
  </cols>
  <sheetData>
    <row r="1" spans="1:20" x14ac:dyDescent="0.25">
      <c r="C1" s="2" t="s">
        <v>17</v>
      </c>
    </row>
    <row r="2" spans="1:20" x14ac:dyDescent="0.25">
      <c r="C2" s="2" t="s">
        <v>19</v>
      </c>
    </row>
    <row r="3" spans="1:20" x14ac:dyDescent="0.25">
      <c r="C3" s="2" t="s">
        <v>18</v>
      </c>
    </row>
    <row r="5" spans="1:20" x14ac:dyDescent="0.25">
      <c r="A5" s="65" t="s">
        <v>291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</row>
    <row r="6" spans="1:20" x14ac:dyDescent="0.25">
      <c r="A6" s="66" t="s">
        <v>250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</row>
    <row r="7" spans="1:20" x14ac:dyDescent="0.25">
      <c r="A7" s="65" t="s">
        <v>2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</row>
    <row r="8" spans="1:20" ht="16.5" thickBot="1" x14ac:dyDescent="0.3"/>
    <row r="9" spans="1:20" ht="78" customHeight="1" thickBot="1" x14ac:dyDescent="0.3">
      <c r="A9" s="67" t="s">
        <v>0</v>
      </c>
      <c r="B9" s="67" t="s">
        <v>4</v>
      </c>
      <c r="C9" s="67" t="s">
        <v>7</v>
      </c>
      <c r="D9" s="67" t="s">
        <v>1</v>
      </c>
      <c r="E9" s="68" t="s">
        <v>10</v>
      </c>
      <c r="F9" s="56" t="s">
        <v>260</v>
      </c>
      <c r="G9" s="69"/>
      <c r="H9" s="69"/>
      <c r="I9" s="70" t="s">
        <v>20</v>
      </c>
      <c r="J9" s="71"/>
      <c r="K9" s="71"/>
      <c r="L9" s="71"/>
      <c r="M9" s="72"/>
      <c r="N9" s="56" t="s">
        <v>11</v>
      </c>
      <c r="O9" s="56" t="s">
        <v>12</v>
      </c>
      <c r="P9" s="56" t="s">
        <v>13</v>
      </c>
      <c r="Q9" s="56" t="s">
        <v>14</v>
      </c>
      <c r="R9" s="56" t="s">
        <v>294</v>
      </c>
      <c r="S9" s="73" t="s">
        <v>295</v>
      </c>
      <c r="T9" s="56" t="s">
        <v>296</v>
      </c>
    </row>
    <row r="10" spans="1:20" ht="80.25" customHeight="1" thickBot="1" x14ac:dyDescent="0.3">
      <c r="A10" s="67"/>
      <c r="B10" s="67"/>
      <c r="C10" s="67"/>
      <c r="D10" s="67"/>
      <c r="E10" s="67"/>
      <c r="F10" s="40" t="s">
        <v>5</v>
      </c>
      <c r="G10" s="40" t="s">
        <v>6</v>
      </c>
      <c r="H10" s="39" t="s">
        <v>9</v>
      </c>
      <c r="I10" s="53" t="s">
        <v>297</v>
      </c>
      <c r="J10" s="39" t="s">
        <v>138</v>
      </c>
      <c r="K10" s="39" t="s">
        <v>139</v>
      </c>
      <c r="L10" s="39" t="s">
        <v>140</v>
      </c>
      <c r="M10" s="39" t="s">
        <v>141</v>
      </c>
      <c r="N10" s="56"/>
      <c r="O10" s="56"/>
      <c r="P10" s="56"/>
      <c r="Q10" s="56"/>
      <c r="R10" s="56"/>
      <c r="S10" s="74"/>
      <c r="T10" s="56"/>
    </row>
    <row r="11" spans="1:20" ht="16.5" thickBot="1" x14ac:dyDescent="0.3">
      <c r="A11" s="57" t="s">
        <v>23</v>
      </c>
      <c r="B11" s="58"/>
      <c r="C11" s="58"/>
      <c r="D11" s="58"/>
      <c r="E11" s="59"/>
      <c r="F11" s="42"/>
      <c r="G11" s="42"/>
      <c r="H11" s="42"/>
      <c r="I11" s="41" t="s">
        <v>8</v>
      </c>
      <c r="J11" s="41" t="s">
        <v>8</v>
      </c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16.5" thickBot="1" x14ac:dyDescent="0.3">
      <c r="A12" s="57" t="s">
        <v>24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9"/>
    </row>
    <row r="13" spans="1:20" ht="24" customHeight="1" thickBot="1" x14ac:dyDescent="0.3">
      <c r="A13" s="14" t="s">
        <v>25</v>
      </c>
      <c r="B13" s="19" t="s">
        <v>110</v>
      </c>
      <c r="C13" s="16" t="s">
        <v>111</v>
      </c>
      <c r="D13" s="14" t="s">
        <v>32</v>
      </c>
      <c r="E13" s="14">
        <v>3</v>
      </c>
      <c r="F13" s="15"/>
      <c r="G13" s="15"/>
      <c r="H13" s="15"/>
      <c r="I13" s="51">
        <f>15.48/6</f>
        <v>2.58</v>
      </c>
      <c r="J13" s="15"/>
      <c r="K13" s="9"/>
      <c r="L13" s="9"/>
      <c r="M13" s="9"/>
      <c r="N13" s="9">
        <f t="shared" ref="N13:N18" si="0">AVERAGE(I13:M13)</f>
        <v>2.58</v>
      </c>
      <c r="O13" s="13">
        <f t="shared" ref="O13:O18" si="1">STDEVPA(I13:M13)</f>
        <v>0</v>
      </c>
      <c r="P13" s="13">
        <f t="shared" ref="P13:P55" si="2">N13+O13</f>
        <v>2.58</v>
      </c>
      <c r="Q13" s="13">
        <f t="shared" ref="Q13:Q55" si="3">N13-O13</f>
        <v>2.58</v>
      </c>
      <c r="R13" s="9">
        <f t="shared" ref="R13:R18" si="4">IF(F13&gt;0,F13,IF(G13&gt;0,G13,IF(H13&gt;0,H13,AVERAGEIFS(I13:M13,I13:M13,"&gt;="&amp;Q13,I13:M13,"&lt;="&amp;P13))))</f>
        <v>2.58</v>
      </c>
      <c r="S13" s="13">
        <f t="shared" ref="S13:S18" si="5">IF(F13&gt;0,F13,IF(G13&gt;0,G13,IF(H13&gt;0,H13,MEDIAN(I13:M13))))</f>
        <v>2.58</v>
      </c>
      <c r="T13" s="9">
        <f t="shared" ref="T13:T18" si="6">IF(R13&gt;S13,S13*E13,R13*E13)</f>
        <v>7.74</v>
      </c>
    </row>
    <row r="14" spans="1:20" ht="24.75" customHeight="1" thickBot="1" x14ac:dyDescent="0.3">
      <c r="A14" s="14" t="s">
        <v>26</v>
      </c>
      <c r="B14" s="19" t="s">
        <v>187</v>
      </c>
      <c r="C14" s="16" t="s">
        <v>188</v>
      </c>
      <c r="D14" s="14" t="s">
        <v>35</v>
      </c>
      <c r="E14" s="14">
        <v>1</v>
      </c>
      <c r="F14" s="15"/>
      <c r="G14" s="15"/>
      <c r="H14" s="15"/>
      <c r="I14" s="51">
        <v>63.27</v>
      </c>
      <c r="J14" s="15"/>
      <c r="K14" s="9"/>
      <c r="L14" s="9"/>
      <c r="M14" s="9"/>
      <c r="N14" s="9">
        <f t="shared" si="0"/>
        <v>63.27</v>
      </c>
      <c r="O14" s="13">
        <f t="shared" si="1"/>
        <v>0</v>
      </c>
      <c r="P14" s="13">
        <f t="shared" si="2"/>
        <v>63.27</v>
      </c>
      <c r="Q14" s="13">
        <f t="shared" si="3"/>
        <v>63.27</v>
      </c>
      <c r="R14" s="9">
        <f t="shared" si="4"/>
        <v>63.27</v>
      </c>
      <c r="S14" s="13">
        <f t="shared" si="5"/>
        <v>63.27</v>
      </c>
      <c r="T14" s="9">
        <f t="shared" si="6"/>
        <v>63.27</v>
      </c>
    </row>
    <row r="15" spans="1:20" ht="21" customHeight="1" thickBot="1" x14ac:dyDescent="0.3">
      <c r="A15" s="14" t="s">
        <v>27</v>
      </c>
      <c r="B15" s="19" t="s">
        <v>281</v>
      </c>
      <c r="C15" s="16" t="s">
        <v>113</v>
      </c>
      <c r="D15" s="14" t="s">
        <v>35</v>
      </c>
      <c r="E15" s="14">
        <v>2</v>
      </c>
      <c r="F15" s="15">
        <f>0.93</f>
        <v>0.93</v>
      </c>
      <c r="G15" s="15"/>
      <c r="H15" s="15"/>
      <c r="I15" s="8"/>
      <c r="J15" s="8"/>
      <c r="K15" s="9"/>
      <c r="L15" s="9"/>
      <c r="M15" s="9"/>
      <c r="N15" s="9" t="e">
        <f t="shared" si="0"/>
        <v>#DIV/0!</v>
      </c>
      <c r="O15" s="13" t="e">
        <f t="shared" si="1"/>
        <v>#DIV/0!</v>
      </c>
      <c r="P15" s="13" t="e">
        <f t="shared" si="2"/>
        <v>#DIV/0!</v>
      </c>
      <c r="Q15" s="13" t="e">
        <f t="shared" si="3"/>
        <v>#DIV/0!</v>
      </c>
      <c r="R15" s="9">
        <f t="shared" si="4"/>
        <v>0.93</v>
      </c>
      <c r="S15" s="13">
        <f t="shared" si="5"/>
        <v>0.93</v>
      </c>
      <c r="T15" s="9">
        <f t="shared" si="6"/>
        <v>1.86</v>
      </c>
    </row>
    <row r="16" spans="1:20" ht="26.25" customHeight="1" thickBot="1" x14ac:dyDescent="0.3">
      <c r="A16" s="14" t="s">
        <v>28</v>
      </c>
      <c r="B16" s="19" t="s">
        <v>280</v>
      </c>
      <c r="C16" s="16" t="s">
        <v>112</v>
      </c>
      <c r="D16" s="14" t="s">
        <v>35</v>
      </c>
      <c r="E16" s="17">
        <v>1</v>
      </c>
      <c r="F16" s="18">
        <f>2.49</f>
        <v>2.4900000000000002</v>
      </c>
      <c r="G16" s="18"/>
      <c r="H16" s="18"/>
      <c r="I16" s="8"/>
      <c r="J16" s="15"/>
      <c r="K16" s="13"/>
      <c r="L16" s="13"/>
      <c r="M16" s="13"/>
      <c r="N16" s="9" t="e">
        <f t="shared" si="0"/>
        <v>#DIV/0!</v>
      </c>
      <c r="O16" s="13" t="e">
        <f t="shared" si="1"/>
        <v>#DIV/0!</v>
      </c>
      <c r="P16" s="13" t="e">
        <f t="shared" si="2"/>
        <v>#DIV/0!</v>
      </c>
      <c r="Q16" s="13" t="e">
        <f t="shared" si="3"/>
        <v>#DIV/0!</v>
      </c>
      <c r="R16" s="9">
        <f t="shared" si="4"/>
        <v>2.4900000000000002</v>
      </c>
      <c r="S16" s="13">
        <f t="shared" si="5"/>
        <v>2.4900000000000002</v>
      </c>
      <c r="T16" s="9">
        <f t="shared" si="6"/>
        <v>2.4900000000000002</v>
      </c>
    </row>
    <row r="17" spans="1:20" ht="24" customHeight="1" thickBot="1" x14ac:dyDescent="0.3">
      <c r="A17" s="14" t="s">
        <v>29</v>
      </c>
      <c r="B17" s="19" t="s">
        <v>189</v>
      </c>
      <c r="C17" s="11" t="s">
        <v>190</v>
      </c>
      <c r="D17" s="14" t="s">
        <v>35</v>
      </c>
      <c r="E17" s="17">
        <v>1</v>
      </c>
      <c r="F17" s="18"/>
      <c r="G17" s="18"/>
      <c r="H17" s="18"/>
      <c r="I17" s="51">
        <v>5.37</v>
      </c>
      <c r="J17" s="15"/>
      <c r="K17" s="9"/>
      <c r="L17" s="9"/>
      <c r="M17" s="9"/>
      <c r="N17" s="9">
        <f t="shared" si="0"/>
        <v>5.37</v>
      </c>
      <c r="O17" s="13">
        <f t="shared" si="1"/>
        <v>0</v>
      </c>
      <c r="P17" s="13">
        <f t="shared" si="2"/>
        <v>5.37</v>
      </c>
      <c r="Q17" s="13">
        <f t="shared" si="3"/>
        <v>5.37</v>
      </c>
      <c r="R17" s="9">
        <f t="shared" si="4"/>
        <v>5.37</v>
      </c>
      <c r="S17" s="13">
        <f t="shared" si="5"/>
        <v>5.37</v>
      </c>
      <c r="T17" s="9">
        <f t="shared" si="6"/>
        <v>5.37</v>
      </c>
    </row>
    <row r="18" spans="1:20" ht="24.75" customHeight="1" thickBot="1" x14ac:dyDescent="0.3">
      <c r="A18" s="14" t="s">
        <v>29</v>
      </c>
      <c r="B18" s="19" t="s">
        <v>191</v>
      </c>
      <c r="C18" s="11" t="s">
        <v>192</v>
      </c>
      <c r="D18" s="14" t="s">
        <v>35</v>
      </c>
      <c r="E18" s="14"/>
      <c r="F18" s="15"/>
      <c r="G18" s="15"/>
      <c r="H18" s="15"/>
      <c r="I18" s="51">
        <v>3.49</v>
      </c>
      <c r="J18" s="15"/>
      <c r="K18" s="9"/>
      <c r="L18" s="9"/>
      <c r="M18" s="9"/>
      <c r="N18" s="9">
        <f t="shared" si="0"/>
        <v>3.49</v>
      </c>
      <c r="O18" s="13">
        <f t="shared" si="1"/>
        <v>0</v>
      </c>
      <c r="P18" s="13">
        <f t="shared" si="2"/>
        <v>3.49</v>
      </c>
      <c r="Q18" s="13">
        <f t="shared" si="3"/>
        <v>3.49</v>
      </c>
      <c r="R18" s="9">
        <f t="shared" si="4"/>
        <v>3.49</v>
      </c>
      <c r="S18" s="13">
        <f t="shared" si="5"/>
        <v>3.49</v>
      </c>
      <c r="T18" s="9">
        <f t="shared" si="6"/>
        <v>0</v>
      </c>
    </row>
    <row r="19" spans="1:20" ht="18.75" customHeight="1" thickBot="1" x14ac:dyDescent="0.3">
      <c r="A19" s="57" t="s">
        <v>42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9"/>
    </row>
    <row r="20" spans="1:20" ht="38.25" customHeight="1" thickBot="1" x14ac:dyDescent="0.3">
      <c r="A20" s="14" t="s">
        <v>43</v>
      </c>
      <c r="B20" s="19" t="s">
        <v>60</v>
      </c>
      <c r="C20" s="11" t="s">
        <v>193</v>
      </c>
      <c r="D20" s="14" t="s">
        <v>35</v>
      </c>
      <c r="E20" s="14">
        <v>1</v>
      </c>
      <c r="F20" s="15"/>
      <c r="G20" s="15"/>
      <c r="H20" s="15"/>
      <c r="I20" s="13">
        <v>999.9</v>
      </c>
      <c r="J20" s="8"/>
      <c r="K20" s="9"/>
      <c r="L20" s="9"/>
      <c r="M20" s="9"/>
      <c r="N20" s="9">
        <f t="shared" ref="N20:N37" si="7">AVERAGE(I20:M20)</f>
        <v>999.9</v>
      </c>
      <c r="O20" s="13">
        <f t="shared" ref="O20:O37" si="8">STDEVPA(I20:M20)</f>
        <v>0</v>
      </c>
      <c r="P20" s="13">
        <f t="shared" si="2"/>
        <v>999.9</v>
      </c>
      <c r="Q20" s="13">
        <f t="shared" si="3"/>
        <v>999.9</v>
      </c>
      <c r="R20" s="9">
        <f t="shared" ref="R20:R37" si="9">IF(F20&gt;0,F20,IF(G20&gt;0,G20,IF(H20&gt;0,H20,AVERAGEIFS(I20:M20,I20:M20,"&gt;="&amp;Q20,I20:M20,"&lt;="&amp;P20))))</f>
        <v>999.9</v>
      </c>
      <c r="S20" s="13">
        <f t="shared" ref="S20:S37" si="10">IF(F20&gt;0,F20,IF(G20&gt;0,G20,IF(H20&gt;0,H20,MEDIAN(I20:M20))))</f>
        <v>999.9</v>
      </c>
      <c r="T20" s="13">
        <f t="shared" ref="T20:T37" si="11">IF(R20&gt;S20,S20*E20,R20*E20)</f>
        <v>999.9</v>
      </c>
    </row>
    <row r="21" spans="1:20" ht="21" customHeight="1" thickBot="1" x14ac:dyDescent="0.3">
      <c r="A21" s="14" t="s">
        <v>44</v>
      </c>
      <c r="B21" s="19" t="s">
        <v>62</v>
      </c>
      <c r="C21" s="11" t="s">
        <v>147</v>
      </c>
      <c r="D21" s="14" t="s">
        <v>35</v>
      </c>
      <c r="E21" s="14">
        <v>1</v>
      </c>
      <c r="F21" s="15"/>
      <c r="G21" s="15"/>
      <c r="H21" s="15"/>
      <c r="I21" s="13">
        <v>31.91</v>
      </c>
      <c r="J21" s="8"/>
      <c r="K21" s="9"/>
      <c r="L21" s="9"/>
      <c r="M21" s="9"/>
      <c r="N21" s="9">
        <f t="shared" si="7"/>
        <v>31.91</v>
      </c>
      <c r="O21" s="13">
        <f t="shared" si="8"/>
        <v>0</v>
      </c>
      <c r="P21" s="13">
        <f t="shared" si="2"/>
        <v>31.91</v>
      </c>
      <c r="Q21" s="13">
        <f t="shared" si="3"/>
        <v>31.91</v>
      </c>
      <c r="R21" s="9">
        <f t="shared" si="9"/>
        <v>31.91</v>
      </c>
      <c r="S21" s="13">
        <f t="shared" si="10"/>
        <v>31.91</v>
      </c>
      <c r="T21" s="13">
        <f t="shared" si="11"/>
        <v>31.91</v>
      </c>
    </row>
    <row r="22" spans="1:20" ht="20.25" customHeight="1" thickBot="1" x14ac:dyDescent="0.3">
      <c r="A22" s="14" t="s">
        <v>45</v>
      </c>
      <c r="B22" s="19" t="s">
        <v>194</v>
      </c>
      <c r="C22" s="11" t="s">
        <v>195</v>
      </c>
      <c r="D22" s="14" t="s">
        <v>35</v>
      </c>
      <c r="E22" s="14">
        <v>1</v>
      </c>
      <c r="F22" s="15">
        <v>5.59</v>
      </c>
      <c r="G22" s="15"/>
      <c r="H22" s="15"/>
      <c r="I22" s="13"/>
      <c r="J22" s="8"/>
      <c r="K22" s="9"/>
      <c r="L22" s="9"/>
      <c r="M22" s="9"/>
      <c r="N22" s="9" t="e">
        <f t="shared" si="7"/>
        <v>#DIV/0!</v>
      </c>
      <c r="O22" s="13" t="e">
        <f t="shared" si="8"/>
        <v>#DIV/0!</v>
      </c>
      <c r="P22" s="13" t="e">
        <f t="shared" si="2"/>
        <v>#DIV/0!</v>
      </c>
      <c r="Q22" s="13" t="e">
        <f t="shared" si="3"/>
        <v>#DIV/0!</v>
      </c>
      <c r="R22" s="9">
        <f t="shared" si="9"/>
        <v>5.59</v>
      </c>
      <c r="S22" s="13">
        <f t="shared" si="10"/>
        <v>5.59</v>
      </c>
      <c r="T22" s="13">
        <f t="shared" si="11"/>
        <v>5.59</v>
      </c>
    </row>
    <row r="23" spans="1:20" ht="21" customHeight="1" thickBot="1" x14ac:dyDescent="0.3">
      <c r="A23" s="14" t="s">
        <v>46</v>
      </c>
      <c r="B23" s="19" t="s">
        <v>281</v>
      </c>
      <c r="C23" s="11" t="s">
        <v>113</v>
      </c>
      <c r="D23" s="14" t="s">
        <v>35</v>
      </c>
      <c r="E23" s="43"/>
      <c r="F23" s="15">
        <f>0.93</f>
        <v>0.93</v>
      </c>
      <c r="G23" s="15"/>
      <c r="H23" s="15"/>
      <c r="I23" s="13"/>
      <c r="J23" s="8"/>
      <c r="K23" s="9"/>
      <c r="L23" s="9"/>
      <c r="M23" s="9"/>
      <c r="N23" s="9" t="e">
        <f t="shared" si="7"/>
        <v>#DIV/0!</v>
      </c>
      <c r="O23" s="13" t="e">
        <f t="shared" si="8"/>
        <v>#DIV/0!</v>
      </c>
      <c r="P23" s="13" t="e">
        <f t="shared" si="2"/>
        <v>#DIV/0!</v>
      </c>
      <c r="Q23" s="13" t="e">
        <f t="shared" si="3"/>
        <v>#DIV/0!</v>
      </c>
      <c r="R23" s="9">
        <f t="shared" si="9"/>
        <v>0.93</v>
      </c>
      <c r="S23" s="13">
        <f t="shared" si="10"/>
        <v>0.93</v>
      </c>
      <c r="T23" s="13">
        <f t="shared" si="11"/>
        <v>0</v>
      </c>
    </row>
    <row r="24" spans="1:20" ht="17.25" customHeight="1" thickBot="1" x14ac:dyDescent="0.3">
      <c r="A24" s="14" t="s">
        <v>47</v>
      </c>
      <c r="B24" s="19" t="s">
        <v>189</v>
      </c>
      <c r="C24" s="11" t="s">
        <v>190</v>
      </c>
      <c r="D24" s="14" t="s">
        <v>35</v>
      </c>
      <c r="E24" s="44">
        <v>1</v>
      </c>
      <c r="F24" s="15">
        <v>8.31</v>
      </c>
      <c r="G24" s="15"/>
      <c r="H24" s="15"/>
      <c r="I24" s="13"/>
      <c r="J24" s="8"/>
      <c r="K24" s="9"/>
      <c r="L24" s="9"/>
      <c r="M24" s="9"/>
      <c r="N24" s="9" t="e">
        <f t="shared" si="7"/>
        <v>#DIV/0!</v>
      </c>
      <c r="O24" s="13" t="e">
        <f t="shared" si="8"/>
        <v>#DIV/0!</v>
      </c>
      <c r="P24" s="13" t="e">
        <f t="shared" si="2"/>
        <v>#DIV/0!</v>
      </c>
      <c r="Q24" s="13" t="e">
        <f t="shared" si="3"/>
        <v>#DIV/0!</v>
      </c>
      <c r="R24" s="9">
        <f t="shared" si="9"/>
        <v>8.31</v>
      </c>
      <c r="S24" s="13">
        <f t="shared" si="10"/>
        <v>8.31</v>
      </c>
      <c r="T24" s="13">
        <f t="shared" si="11"/>
        <v>8.31</v>
      </c>
    </row>
    <row r="25" spans="1:20" ht="18.75" customHeight="1" thickBot="1" x14ac:dyDescent="0.3">
      <c r="A25" s="14" t="s">
        <v>48</v>
      </c>
      <c r="B25" s="19" t="s">
        <v>196</v>
      </c>
      <c r="C25" s="11" t="s">
        <v>197</v>
      </c>
      <c r="D25" s="14" t="s">
        <v>35</v>
      </c>
      <c r="E25" s="44">
        <v>1</v>
      </c>
      <c r="F25" s="15">
        <v>16.05</v>
      </c>
      <c r="G25" s="15"/>
      <c r="H25" s="15"/>
      <c r="I25" s="13"/>
      <c r="J25" s="8"/>
      <c r="K25" s="9"/>
      <c r="L25" s="9"/>
      <c r="M25" s="9"/>
      <c r="N25" s="9" t="e">
        <f t="shared" si="7"/>
        <v>#DIV/0!</v>
      </c>
      <c r="O25" s="13" t="e">
        <f t="shared" si="8"/>
        <v>#DIV/0!</v>
      </c>
      <c r="P25" s="13" t="e">
        <f t="shared" si="2"/>
        <v>#DIV/0!</v>
      </c>
      <c r="Q25" s="13" t="e">
        <f t="shared" si="3"/>
        <v>#DIV/0!</v>
      </c>
      <c r="R25" s="9">
        <f t="shared" si="9"/>
        <v>16.05</v>
      </c>
      <c r="S25" s="13">
        <f t="shared" si="10"/>
        <v>16.05</v>
      </c>
      <c r="T25" s="9">
        <f t="shared" si="11"/>
        <v>16.05</v>
      </c>
    </row>
    <row r="26" spans="1:20" ht="21" customHeight="1" thickBot="1" x14ac:dyDescent="0.3">
      <c r="A26" s="14" t="s">
        <v>49</v>
      </c>
      <c r="B26" s="19" t="s">
        <v>198</v>
      </c>
      <c r="C26" s="11" t="s">
        <v>199</v>
      </c>
      <c r="D26" s="14" t="s">
        <v>35</v>
      </c>
      <c r="E26" s="14">
        <v>1</v>
      </c>
      <c r="F26" s="15"/>
      <c r="G26" s="15"/>
      <c r="H26" s="15">
        <v>48.75</v>
      </c>
      <c r="I26" s="13"/>
      <c r="J26" s="8"/>
      <c r="K26" s="9"/>
      <c r="L26" s="9"/>
      <c r="M26" s="9"/>
      <c r="N26" s="9" t="e">
        <f t="shared" si="7"/>
        <v>#DIV/0!</v>
      </c>
      <c r="O26" s="13" t="e">
        <f t="shared" si="8"/>
        <v>#DIV/0!</v>
      </c>
      <c r="P26" s="13" t="e">
        <f t="shared" si="2"/>
        <v>#DIV/0!</v>
      </c>
      <c r="Q26" s="13" t="e">
        <f t="shared" si="3"/>
        <v>#DIV/0!</v>
      </c>
      <c r="R26" s="9">
        <f t="shared" si="9"/>
        <v>48.75</v>
      </c>
      <c r="S26" s="13">
        <f t="shared" si="10"/>
        <v>48.75</v>
      </c>
      <c r="T26" s="9">
        <f t="shared" si="11"/>
        <v>48.75</v>
      </c>
    </row>
    <row r="27" spans="1:20" ht="16.5" customHeight="1" thickBot="1" x14ac:dyDescent="0.3">
      <c r="A27" s="14" t="s">
        <v>50</v>
      </c>
      <c r="B27" s="19" t="s">
        <v>200</v>
      </c>
      <c r="C27" s="11" t="s">
        <v>201</v>
      </c>
      <c r="D27" s="14" t="s">
        <v>35</v>
      </c>
      <c r="E27" s="14">
        <v>2</v>
      </c>
      <c r="F27" s="15">
        <v>4.4000000000000004</v>
      </c>
      <c r="G27" s="15"/>
      <c r="H27" s="15"/>
      <c r="I27" s="54"/>
      <c r="J27" s="8"/>
      <c r="K27" s="9"/>
      <c r="L27" s="9"/>
      <c r="M27" s="9"/>
      <c r="N27" s="9" t="e">
        <f t="shared" si="7"/>
        <v>#DIV/0!</v>
      </c>
      <c r="O27" s="13" t="e">
        <f t="shared" si="8"/>
        <v>#DIV/0!</v>
      </c>
      <c r="P27" s="13" t="e">
        <f t="shared" si="2"/>
        <v>#DIV/0!</v>
      </c>
      <c r="Q27" s="13" t="e">
        <f t="shared" si="3"/>
        <v>#DIV/0!</v>
      </c>
      <c r="R27" s="9">
        <f t="shared" si="9"/>
        <v>4.4000000000000004</v>
      </c>
      <c r="S27" s="13">
        <f t="shared" si="10"/>
        <v>4.4000000000000004</v>
      </c>
      <c r="T27" s="9">
        <f t="shared" si="11"/>
        <v>8.8000000000000007</v>
      </c>
    </row>
    <row r="28" spans="1:20" ht="18.75" customHeight="1" thickBot="1" x14ac:dyDescent="0.3">
      <c r="A28" s="14" t="s">
        <v>51</v>
      </c>
      <c r="B28" s="19" t="s">
        <v>270</v>
      </c>
      <c r="C28" s="11" t="s">
        <v>69</v>
      </c>
      <c r="D28" s="14" t="s">
        <v>35</v>
      </c>
      <c r="E28" s="14">
        <v>1</v>
      </c>
      <c r="F28" s="15">
        <f>1.22</f>
        <v>1.22</v>
      </c>
      <c r="G28" s="15"/>
      <c r="H28" s="15"/>
      <c r="I28" s="13"/>
      <c r="J28" s="8"/>
      <c r="K28" s="9"/>
      <c r="L28" s="9"/>
      <c r="M28" s="9"/>
      <c r="N28" s="9" t="e">
        <f t="shared" si="7"/>
        <v>#DIV/0!</v>
      </c>
      <c r="O28" s="13" t="e">
        <f t="shared" si="8"/>
        <v>#DIV/0!</v>
      </c>
      <c r="P28" s="13" t="e">
        <f t="shared" si="2"/>
        <v>#DIV/0!</v>
      </c>
      <c r="Q28" s="13" t="e">
        <f t="shared" si="3"/>
        <v>#DIV/0!</v>
      </c>
      <c r="R28" s="9">
        <f t="shared" si="9"/>
        <v>1.22</v>
      </c>
      <c r="S28" s="13">
        <f t="shared" si="10"/>
        <v>1.22</v>
      </c>
      <c r="T28" s="9">
        <f t="shared" si="11"/>
        <v>1.22</v>
      </c>
    </row>
    <row r="29" spans="1:20" ht="18.75" customHeight="1" thickBot="1" x14ac:dyDescent="0.3">
      <c r="A29" s="14" t="s">
        <v>52</v>
      </c>
      <c r="B29" s="19" t="s">
        <v>271</v>
      </c>
      <c r="C29" s="11" t="s">
        <v>70</v>
      </c>
      <c r="D29" s="14" t="s">
        <v>35</v>
      </c>
      <c r="E29" s="14">
        <v>1</v>
      </c>
      <c r="F29" s="15">
        <f>6.4</f>
        <v>6.4</v>
      </c>
      <c r="G29" s="15"/>
      <c r="H29" s="15"/>
      <c r="I29" s="13"/>
      <c r="J29" s="8"/>
      <c r="K29" s="9"/>
      <c r="L29" s="9"/>
      <c r="M29" s="9"/>
      <c r="N29" s="9" t="e">
        <f t="shared" si="7"/>
        <v>#DIV/0!</v>
      </c>
      <c r="O29" s="13" t="e">
        <f t="shared" si="8"/>
        <v>#DIV/0!</v>
      </c>
      <c r="P29" s="13" t="e">
        <f t="shared" si="2"/>
        <v>#DIV/0!</v>
      </c>
      <c r="Q29" s="13" t="e">
        <f t="shared" si="3"/>
        <v>#DIV/0!</v>
      </c>
      <c r="R29" s="9">
        <f t="shared" si="9"/>
        <v>6.4</v>
      </c>
      <c r="S29" s="13">
        <f t="shared" si="10"/>
        <v>6.4</v>
      </c>
      <c r="T29" s="9">
        <f t="shared" si="11"/>
        <v>6.4</v>
      </c>
    </row>
    <row r="30" spans="1:20" ht="26.25" customHeight="1" thickBot="1" x14ac:dyDescent="0.3">
      <c r="A30" s="14" t="s">
        <v>53</v>
      </c>
      <c r="B30" s="19" t="s">
        <v>272</v>
      </c>
      <c r="C30" s="11" t="s">
        <v>71</v>
      </c>
      <c r="D30" s="14" t="s">
        <v>35</v>
      </c>
      <c r="E30" s="14">
        <v>1</v>
      </c>
      <c r="F30" s="15">
        <f>104.89</f>
        <v>104.89</v>
      </c>
      <c r="G30" s="15"/>
      <c r="H30" s="15"/>
      <c r="I30" s="13"/>
      <c r="J30" s="8"/>
      <c r="K30" s="9"/>
      <c r="L30" s="9"/>
      <c r="M30" s="9"/>
      <c r="N30" s="9" t="e">
        <f t="shared" si="7"/>
        <v>#DIV/0!</v>
      </c>
      <c r="O30" s="13" t="e">
        <f t="shared" si="8"/>
        <v>#DIV/0!</v>
      </c>
      <c r="P30" s="13" t="e">
        <f t="shared" si="2"/>
        <v>#DIV/0!</v>
      </c>
      <c r="Q30" s="13" t="e">
        <f t="shared" si="3"/>
        <v>#DIV/0!</v>
      </c>
      <c r="R30" s="9">
        <f t="shared" si="9"/>
        <v>104.89</v>
      </c>
      <c r="S30" s="13">
        <f t="shared" si="10"/>
        <v>104.89</v>
      </c>
      <c r="T30" s="9">
        <f t="shared" si="11"/>
        <v>104.89</v>
      </c>
    </row>
    <row r="31" spans="1:20" ht="18.75" customHeight="1" thickBot="1" x14ac:dyDescent="0.3">
      <c r="A31" s="14" t="s">
        <v>54</v>
      </c>
      <c r="B31" s="19" t="s">
        <v>72</v>
      </c>
      <c r="C31" s="11" t="s">
        <v>73</v>
      </c>
      <c r="D31" s="14" t="s">
        <v>35</v>
      </c>
      <c r="E31" s="14">
        <v>1</v>
      </c>
      <c r="F31" s="15"/>
      <c r="G31" s="15"/>
      <c r="H31" s="15">
        <v>59.77</v>
      </c>
      <c r="I31" s="13"/>
      <c r="J31" s="8"/>
      <c r="K31" s="9"/>
      <c r="L31" s="9"/>
      <c r="M31" s="9"/>
      <c r="N31" s="9" t="e">
        <f t="shared" si="7"/>
        <v>#DIV/0!</v>
      </c>
      <c r="O31" s="13" t="e">
        <f t="shared" si="8"/>
        <v>#DIV/0!</v>
      </c>
      <c r="P31" s="13" t="e">
        <f t="shared" si="2"/>
        <v>#DIV/0!</v>
      </c>
      <c r="Q31" s="13" t="e">
        <f t="shared" si="3"/>
        <v>#DIV/0!</v>
      </c>
      <c r="R31" s="9">
        <f t="shared" si="9"/>
        <v>59.77</v>
      </c>
      <c r="S31" s="13">
        <f t="shared" si="10"/>
        <v>59.77</v>
      </c>
      <c r="T31" s="9">
        <f t="shared" si="11"/>
        <v>59.77</v>
      </c>
    </row>
    <row r="32" spans="1:20" ht="21" customHeight="1" thickBot="1" x14ac:dyDescent="0.3">
      <c r="A32" s="14" t="s">
        <v>55</v>
      </c>
      <c r="B32" s="19" t="s">
        <v>105</v>
      </c>
      <c r="C32" s="11" t="s">
        <v>202</v>
      </c>
      <c r="D32" s="14" t="s">
        <v>35</v>
      </c>
      <c r="E32" s="14">
        <v>2</v>
      </c>
      <c r="F32" s="15">
        <v>1.26</v>
      </c>
      <c r="G32" s="15"/>
      <c r="H32" s="15"/>
      <c r="I32" s="13"/>
      <c r="J32" s="8"/>
      <c r="K32" s="9"/>
      <c r="L32" s="9"/>
      <c r="M32" s="9"/>
      <c r="N32" s="9" t="e">
        <f t="shared" si="7"/>
        <v>#DIV/0!</v>
      </c>
      <c r="O32" s="13" t="e">
        <f t="shared" si="8"/>
        <v>#DIV/0!</v>
      </c>
      <c r="P32" s="13" t="e">
        <f t="shared" si="2"/>
        <v>#DIV/0!</v>
      </c>
      <c r="Q32" s="13" t="e">
        <f t="shared" si="3"/>
        <v>#DIV/0!</v>
      </c>
      <c r="R32" s="9">
        <f t="shared" si="9"/>
        <v>1.26</v>
      </c>
      <c r="S32" s="13">
        <f t="shared" si="10"/>
        <v>1.26</v>
      </c>
      <c r="T32" s="9">
        <f t="shared" si="11"/>
        <v>2.52</v>
      </c>
    </row>
    <row r="33" spans="1:20" ht="20.25" customHeight="1" thickBot="1" x14ac:dyDescent="0.3">
      <c r="A33" s="14" t="s">
        <v>56</v>
      </c>
      <c r="B33" s="19" t="s">
        <v>203</v>
      </c>
      <c r="C33" s="11" t="s">
        <v>204</v>
      </c>
      <c r="D33" s="14" t="s">
        <v>35</v>
      </c>
      <c r="E33" s="14">
        <v>1</v>
      </c>
      <c r="F33" s="15"/>
      <c r="G33" s="15"/>
      <c r="H33" s="15"/>
      <c r="I33" s="13">
        <v>77.180000000000007</v>
      </c>
      <c r="J33" s="8"/>
      <c r="K33" s="9"/>
      <c r="L33" s="9"/>
      <c r="M33" s="9"/>
      <c r="N33" s="9">
        <f t="shared" si="7"/>
        <v>77.180000000000007</v>
      </c>
      <c r="O33" s="13">
        <f t="shared" si="8"/>
        <v>0</v>
      </c>
      <c r="P33" s="13">
        <f t="shared" si="2"/>
        <v>77.180000000000007</v>
      </c>
      <c r="Q33" s="13">
        <f t="shared" si="3"/>
        <v>77.180000000000007</v>
      </c>
      <c r="R33" s="9">
        <f t="shared" si="9"/>
        <v>77.180000000000007</v>
      </c>
      <c r="S33" s="13">
        <f t="shared" si="10"/>
        <v>77.180000000000007</v>
      </c>
      <c r="T33" s="9">
        <f t="shared" si="11"/>
        <v>77.180000000000007</v>
      </c>
    </row>
    <row r="34" spans="1:20" ht="33" customHeight="1" thickBot="1" x14ac:dyDescent="0.3">
      <c r="A34" s="14" t="s">
        <v>57</v>
      </c>
      <c r="B34" s="19" t="s">
        <v>273</v>
      </c>
      <c r="C34" s="11" t="s">
        <v>74</v>
      </c>
      <c r="D34" s="14" t="s">
        <v>32</v>
      </c>
      <c r="E34" s="14">
        <v>75</v>
      </c>
      <c r="F34" s="15">
        <v>2.41</v>
      </c>
      <c r="G34" s="15"/>
      <c r="H34" s="15"/>
      <c r="I34" s="13"/>
      <c r="J34" s="15"/>
      <c r="K34" s="13"/>
      <c r="L34" s="13"/>
      <c r="M34" s="13"/>
      <c r="N34" s="13" t="e">
        <f t="shared" si="7"/>
        <v>#DIV/0!</v>
      </c>
      <c r="O34" s="13" t="e">
        <f t="shared" si="8"/>
        <v>#DIV/0!</v>
      </c>
      <c r="P34" s="13" t="e">
        <f t="shared" si="2"/>
        <v>#DIV/0!</v>
      </c>
      <c r="Q34" s="13" t="e">
        <f t="shared" si="3"/>
        <v>#DIV/0!</v>
      </c>
      <c r="R34" s="13">
        <f t="shared" si="9"/>
        <v>2.41</v>
      </c>
      <c r="S34" s="13">
        <f t="shared" si="10"/>
        <v>2.41</v>
      </c>
      <c r="T34" s="13">
        <f t="shared" si="11"/>
        <v>180.75</v>
      </c>
    </row>
    <row r="35" spans="1:20" ht="20.25" customHeight="1" thickBot="1" x14ac:dyDescent="0.3">
      <c r="A35" s="14" t="s">
        <v>58</v>
      </c>
      <c r="B35" s="19" t="s">
        <v>107</v>
      </c>
      <c r="C35" s="11" t="s">
        <v>205</v>
      </c>
      <c r="D35" s="14" t="s">
        <v>35</v>
      </c>
      <c r="E35" s="14">
        <v>1</v>
      </c>
      <c r="F35" s="15"/>
      <c r="G35" s="15"/>
      <c r="H35" s="15"/>
      <c r="I35" s="13">
        <v>175.49</v>
      </c>
      <c r="J35" s="15"/>
      <c r="K35" s="13"/>
      <c r="L35" s="13"/>
      <c r="M35" s="13"/>
      <c r="N35" s="13">
        <f t="shared" si="7"/>
        <v>175.49</v>
      </c>
      <c r="O35" s="13">
        <f t="shared" si="8"/>
        <v>0</v>
      </c>
      <c r="P35" s="13">
        <f t="shared" si="2"/>
        <v>175.49</v>
      </c>
      <c r="Q35" s="13">
        <f t="shared" si="3"/>
        <v>175.49</v>
      </c>
      <c r="R35" s="13">
        <f t="shared" si="9"/>
        <v>175.49</v>
      </c>
      <c r="S35" s="13">
        <f t="shared" si="10"/>
        <v>175.49</v>
      </c>
      <c r="T35" s="13">
        <f t="shared" si="11"/>
        <v>175.49</v>
      </c>
    </row>
    <row r="36" spans="1:20" ht="21" customHeight="1" thickBot="1" x14ac:dyDescent="0.3">
      <c r="A36" s="14" t="s">
        <v>144</v>
      </c>
      <c r="B36" s="19" t="s">
        <v>76</v>
      </c>
      <c r="C36" s="11" t="s">
        <v>77</v>
      </c>
      <c r="D36" s="14" t="s">
        <v>35</v>
      </c>
      <c r="E36" s="14">
        <v>1</v>
      </c>
      <c r="F36" s="51">
        <v>10.54</v>
      </c>
      <c r="G36" s="15"/>
      <c r="H36" s="15"/>
      <c r="I36" s="13"/>
      <c r="J36" s="15"/>
      <c r="K36" s="13"/>
      <c r="L36" s="13"/>
      <c r="M36" s="13"/>
      <c r="N36" s="13" t="e">
        <f t="shared" si="7"/>
        <v>#DIV/0!</v>
      </c>
      <c r="O36" s="13" t="e">
        <f t="shared" si="8"/>
        <v>#DIV/0!</v>
      </c>
      <c r="P36" s="13" t="e">
        <f t="shared" si="2"/>
        <v>#DIV/0!</v>
      </c>
      <c r="Q36" s="13" t="e">
        <f t="shared" si="3"/>
        <v>#DIV/0!</v>
      </c>
      <c r="R36" s="13">
        <f t="shared" si="9"/>
        <v>10.54</v>
      </c>
      <c r="S36" s="13">
        <f t="shared" si="10"/>
        <v>10.54</v>
      </c>
      <c r="T36" s="13">
        <f t="shared" si="11"/>
        <v>10.54</v>
      </c>
    </row>
    <row r="37" spans="1:20" ht="19.5" customHeight="1" thickBot="1" x14ac:dyDescent="0.3">
      <c r="A37" s="14" t="s">
        <v>145</v>
      </c>
      <c r="B37" s="19" t="s">
        <v>78</v>
      </c>
      <c r="C37" s="11" t="s">
        <v>79</v>
      </c>
      <c r="D37" s="14" t="s">
        <v>35</v>
      </c>
      <c r="E37" s="14">
        <v>1</v>
      </c>
      <c r="F37" s="15"/>
      <c r="G37" s="15"/>
      <c r="H37" s="51">
        <v>10.8</v>
      </c>
      <c r="I37" s="13"/>
      <c r="J37" s="15"/>
      <c r="K37" s="13"/>
      <c r="L37" s="13"/>
      <c r="M37" s="13"/>
      <c r="N37" s="13" t="e">
        <f t="shared" si="7"/>
        <v>#DIV/0!</v>
      </c>
      <c r="O37" s="13" t="e">
        <f t="shared" si="8"/>
        <v>#DIV/0!</v>
      </c>
      <c r="P37" s="13" t="e">
        <f t="shared" si="2"/>
        <v>#DIV/0!</v>
      </c>
      <c r="Q37" s="13" t="e">
        <f t="shared" si="3"/>
        <v>#DIV/0!</v>
      </c>
      <c r="R37" s="13">
        <f t="shared" si="9"/>
        <v>10.8</v>
      </c>
      <c r="S37" s="13">
        <f t="shared" si="10"/>
        <v>10.8</v>
      </c>
      <c r="T37" s="13">
        <f t="shared" si="11"/>
        <v>10.8</v>
      </c>
    </row>
    <row r="38" spans="1:20" ht="18" customHeight="1" thickBot="1" x14ac:dyDescent="0.3">
      <c r="A38" s="76" t="s">
        <v>59</v>
      </c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8"/>
    </row>
    <row r="39" spans="1:20" ht="20.25" customHeight="1" thickBot="1" x14ac:dyDescent="0.3">
      <c r="A39" s="14" t="s">
        <v>80</v>
      </c>
      <c r="B39" s="19" t="s">
        <v>110</v>
      </c>
      <c r="C39" s="11" t="s">
        <v>111</v>
      </c>
      <c r="D39" s="14" t="s">
        <v>32</v>
      </c>
      <c r="E39" s="14">
        <v>33</v>
      </c>
      <c r="F39" s="15"/>
      <c r="G39" s="15"/>
      <c r="H39" s="15"/>
      <c r="I39" s="51">
        <v>2.58</v>
      </c>
      <c r="J39" s="15"/>
      <c r="K39" s="13"/>
      <c r="L39" s="13"/>
      <c r="M39" s="13"/>
      <c r="N39" s="13">
        <f>AVERAGE(I39:M39)</f>
        <v>2.58</v>
      </c>
      <c r="O39" s="13">
        <f>STDEVPA(I39:M39)</f>
        <v>0</v>
      </c>
      <c r="P39" s="13">
        <f t="shared" si="2"/>
        <v>2.58</v>
      </c>
      <c r="Q39" s="13">
        <f t="shared" si="3"/>
        <v>2.58</v>
      </c>
      <c r="R39" s="13">
        <f>IF(F39&gt;0,F39,IF(G39&gt;0,G39,IF(H39&gt;0,H39,AVERAGEIFS(I39:M39,I39:M39,"&gt;="&amp;Q39,I39:M39,"&lt;="&amp;P39))))</f>
        <v>2.58</v>
      </c>
      <c r="S39" s="13">
        <f>IF(F39&gt;0,F39,IF(G39&gt;0,G39,IF(H39&gt;0,H39,MEDIAN(I39:M39))))</f>
        <v>2.58</v>
      </c>
      <c r="T39" s="13">
        <f>IF(R39&gt;S39,S39*E39,R39*E39)</f>
        <v>85.14</v>
      </c>
    </row>
    <row r="40" spans="1:20" ht="21" customHeight="1" thickBot="1" x14ac:dyDescent="0.3">
      <c r="A40" s="14" t="s">
        <v>81</v>
      </c>
      <c r="B40" s="19" t="s">
        <v>206</v>
      </c>
      <c r="C40" s="11" t="s">
        <v>207</v>
      </c>
      <c r="D40" s="14" t="s">
        <v>35</v>
      </c>
      <c r="E40" s="14">
        <v>3</v>
      </c>
      <c r="F40" s="15"/>
      <c r="G40" s="15"/>
      <c r="H40" s="15">
        <v>2.5499999999999998</v>
      </c>
      <c r="I40" s="51"/>
      <c r="J40" s="15"/>
      <c r="K40" s="13"/>
      <c r="L40" s="13"/>
      <c r="M40" s="13"/>
      <c r="N40" s="13" t="e">
        <f>AVERAGE(I40:M40)</f>
        <v>#DIV/0!</v>
      </c>
      <c r="O40" s="13" t="e">
        <f>STDEVPA(I40:M40)</f>
        <v>#DIV/0!</v>
      </c>
      <c r="P40" s="13" t="e">
        <f t="shared" si="2"/>
        <v>#DIV/0!</v>
      </c>
      <c r="Q40" s="13" t="e">
        <f t="shared" si="3"/>
        <v>#DIV/0!</v>
      </c>
      <c r="R40" s="13">
        <f>IF(F40&gt;0,F40,IF(G40&gt;0,G40,IF(H40&gt;0,H40,AVERAGEIFS(I40:M40,I40:M40,"&gt;="&amp;Q40,I40:M40,"&lt;="&amp;P40))))</f>
        <v>2.5499999999999998</v>
      </c>
      <c r="S40" s="13">
        <f>IF(F40&gt;0,F40,IF(G40&gt;0,G40,IF(H40&gt;0,H40,MEDIAN(I40:M40))))</f>
        <v>2.5499999999999998</v>
      </c>
      <c r="T40" s="13">
        <f>IF(R40&gt;S40,S40*E40,R40*E40)</f>
        <v>7.6499999999999995</v>
      </c>
    </row>
    <row r="41" spans="1:20" ht="22.5" customHeight="1" thickBot="1" x14ac:dyDescent="0.3">
      <c r="A41" s="76" t="s">
        <v>82</v>
      </c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8"/>
    </row>
    <row r="42" spans="1:20" s="4" customFormat="1" ht="23.25" customHeight="1" thickBot="1" x14ac:dyDescent="0.3">
      <c r="A42" s="14" t="s">
        <v>83</v>
      </c>
      <c r="B42" s="19" t="s">
        <v>160</v>
      </c>
      <c r="C42" s="11" t="s">
        <v>161</v>
      </c>
      <c r="D42" s="14" t="s">
        <v>32</v>
      </c>
      <c r="E42" s="14">
        <v>22.5</v>
      </c>
      <c r="F42" s="15"/>
      <c r="G42" s="15"/>
      <c r="H42" s="15"/>
      <c r="I42" s="13">
        <f>455.05/500</f>
        <v>0.91010000000000002</v>
      </c>
      <c r="J42" s="15"/>
      <c r="K42" s="13"/>
      <c r="L42" s="13"/>
      <c r="M42" s="13"/>
      <c r="N42" s="13">
        <f t="shared" ref="N42:N47" si="12">AVERAGE(I42:M42)</f>
        <v>0.91010000000000002</v>
      </c>
      <c r="O42" s="13">
        <f t="shared" ref="O42:O47" si="13">STDEVPA(I42:M42)</f>
        <v>0</v>
      </c>
      <c r="P42" s="13">
        <f t="shared" si="2"/>
        <v>0.91010000000000002</v>
      </c>
      <c r="Q42" s="13">
        <f t="shared" si="3"/>
        <v>0.91010000000000002</v>
      </c>
      <c r="R42" s="13">
        <f t="shared" ref="R42:R47" si="14">IF(F42&gt;0,F42,IF(G42&gt;0,G42,IF(H42&gt;0,H42,AVERAGEIFS(I42:M42,I42:M42,"&gt;="&amp;Q42,I42:M42,"&lt;="&amp;P42))))</f>
        <v>0.91010000000000002</v>
      </c>
      <c r="S42" s="13">
        <f t="shared" ref="S42:S47" si="15">IF(F42&gt;0,F42,IF(G42&gt;0,G42,IF(H42&gt;0,H42,MEDIAN(I42:M42))))</f>
        <v>0.91010000000000002</v>
      </c>
      <c r="T42" s="13">
        <f t="shared" ref="T42:T47" si="16">IF(R42&gt;S42,S42*E42,R42*E42)</f>
        <v>20.477250000000002</v>
      </c>
    </row>
    <row r="43" spans="1:20" ht="27" customHeight="1" thickBot="1" x14ac:dyDescent="0.3">
      <c r="A43" s="14" t="s">
        <v>84</v>
      </c>
      <c r="B43" s="19" t="s">
        <v>114</v>
      </c>
      <c r="C43" s="11" t="s">
        <v>209</v>
      </c>
      <c r="D43" s="14" t="s">
        <v>35</v>
      </c>
      <c r="E43" s="14">
        <v>14</v>
      </c>
      <c r="F43" s="15"/>
      <c r="G43" s="15"/>
      <c r="H43" s="15"/>
      <c r="I43" s="13">
        <v>1.62</v>
      </c>
      <c r="J43" s="15"/>
      <c r="K43" s="13"/>
      <c r="L43" s="13"/>
      <c r="M43" s="13"/>
      <c r="N43" s="13">
        <f t="shared" si="12"/>
        <v>1.62</v>
      </c>
      <c r="O43" s="13">
        <f t="shared" si="13"/>
        <v>0</v>
      </c>
      <c r="P43" s="13">
        <f t="shared" si="2"/>
        <v>1.62</v>
      </c>
      <c r="Q43" s="13">
        <f t="shared" si="3"/>
        <v>1.62</v>
      </c>
      <c r="R43" s="13">
        <f t="shared" si="14"/>
        <v>1.62</v>
      </c>
      <c r="S43" s="13">
        <f t="shared" si="15"/>
        <v>1.62</v>
      </c>
      <c r="T43" s="13">
        <f t="shared" si="16"/>
        <v>22.68</v>
      </c>
    </row>
    <row r="44" spans="1:20" ht="29.25" customHeight="1" thickBot="1" x14ac:dyDescent="0.3">
      <c r="A44" s="14" t="s">
        <v>85</v>
      </c>
      <c r="B44" s="19" t="s">
        <v>150</v>
      </c>
      <c r="C44" s="11" t="s">
        <v>210</v>
      </c>
      <c r="D44" s="14" t="s">
        <v>35</v>
      </c>
      <c r="E44" s="14">
        <v>8</v>
      </c>
      <c r="F44" s="15"/>
      <c r="G44" s="15"/>
      <c r="H44" s="15"/>
      <c r="I44" s="13">
        <v>4</v>
      </c>
      <c r="J44" s="15"/>
      <c r="K44" s="13"/>
      <c r="L44" s="13"/>
      <c r="M44" s="13"/>
      <c r="N44" s="13">
        <f t="shared" si="12"/>
        <v>4</v>
      </c>
      <c r="O44" s="13">
        <f t="shared" si="13"/>
        <v>0</v>
      </c>
      <c r="P44" s="13">
        <f t="shared" si="2"/>
        <v>4</v>
      </c>
      <c r="Q44" s="13">
        <f t="shared" si="3"/>
        <v>4</v>
      </c>
      <c r="R44" s="13">
        <f t="shared" si="14"/>
        <v>4</v>
      </c>
      <c r="S44" s="13">
        <f t="shared" si="15"/>
        <v>4</v>
      </c>
      <c r="T44" s="13">
        <f t="shared" si="16"/>
        <v>32</v>
      </c>
    </row>
    <row r="45" spans="1:20" ht="27" customHeight="1" thickBot="1" x14ac:dyDescent="0.3">
      <c r="A45" s="14" t="s">
        <v>86</v>
      </c>
      <c r="B45" s="19" t="s">
        <v>162</v>
      </c>
      <c r="C45" s="11" t="s">
        <v>211</v>
      </c>
      <c r="D45" s="14" t="s">
        <v>35</v>
      </c>
      <c r="E45" s="14">
        <v>25</v>
      </c>
      <c r="F45" s="15"/>
      <c r="G45" s="15"/>
      <c r="H45" s="15"/>
      <c r="I45" s="13">
        <v>1.5</v>
      </c>
      <c r="J45" s="15"/>
      <c r="K45" s="13"/>
      <c r="L45" s="13"/>
      <c r="M45" s="13"/>
      <c r="N45" s="13">
        <f t="shared" si="12"/>
        <v>1.5</v>
      </c>
      <c r="O45" s="13">
        <f t="shared" si="13"/>
        <v>0</v>
      </c>
      <c r="P45" s="13">
        <f t="shared" si="2"/>
        <v>1.5</v>
      </c>
      <c r="Q45" s="13">
        <f t="shared" si="3"/>
        <v>1.5</v>
      </c>
      <c r="R45" s="13">
        <f t="shared" si="14"/>
        <v>1.5</v>
      </c>
      <c r="S45" s="13">
        <f t="shared" si="15"/>
        <v>1.5</v>
      </c>
      <c r="T45" s="13">
        <f t="shared" si="16"/>
        <v>37.5</v>
      </c>
    </row>
    <row r="46" spans="1:20" ht="19.5" customHeight="1" thickBot="1" x14ac:dyDescent="0.3">
      <c r="A46" s="14" t="s">
        <v>87</v>
      </c>
      <c r="B46" s="19" t="s">
        <v>105</v>
      </c>
      <c r="C46" s="11" t="s">
        <v>212</v>
      </c>
      <c r="D46" s="14" t="s">
        <v>35</v>
      </c>
      <c r="E46" s="14">
        <v>1</v>
      </c>
      <c r="F46" s="15"/>
      <c r="G46" s="15"/>
      <c r="H46" s="15"/>
      <c r="I46" s="13">
        <v>1.28</v>
      </c>
      <c r="J46" s="15"/>
      <c r="K46" s="13"/>
      <c r="L46" s="13"/>
      <c r="M46" s="13"/>
      <c r="N46" s="13">
        <f t="shared" si="12"/>
        <v>1.28</v>
      </c>
      <c r="O46" s="13">
        <f t="shared" si="13"/>
        <v>0</v>
      </c>
      <c r="P46" s="13">
        <f t="shared" si="2"/>
        <v>1.28</v>
      </c>
      <c r="Q46" s="13">
        <f t="shared" si="3"/>
        <v>1.28</v>
      </c>
      <c r="R46" s="13">
        <f t="shared" si="14"/>
        <v>1.28</v>
      </c>
      <c r="S46" s="13">
        <f t="shared" si="15"/>
        <v>1.28</v>
      </c>
      <c r="T46" s="13">
        <f t="shared" si="16"/>
        <v>1.28</v>
      </c>
    </row>
    <row r="47" spans="1:20" ht="19.5" customHeight="1" thickBot="1" x14ac:dyDescent="0.3">
      <c r="A47" s="14" t="s">
        <v>88</v>
      </c>
      <c r="B47" s="19" t="s">
        <v>166</v>
      </c>
      <c r="C47" s="11" t="s">
        <v>213</v>
      </c>
      <c r="D47" s="14" t="s">
        <v>35</v>
      </c>
      <c r="E47" s="14">
        <v>1</v>
      </c>
      <c r="F47" s="15"/>
      <c r="G47" s="15"/>
      <c r="H47" s="15"/>
      <c r="I47" s="13">
        <v>3.61</v>
      </c>
      <c r="J47" s="15"/>
      <c r="K47" s="13"/>
      <c r="L47" s="13"/>
      <c r="M47" s="13"/>
      <c r="N47" s="13">
        <f t="shared" si="12"/>
        <v>3.61</v>
      </c>
      <c r="O47" s="13">
        <f t="shared" si="13"/>
        <v>0</v>
      </c>
      <c r="P47" s="13">
        <f t="shared" si="2"/>
        <v>3.61</v>
      </c>
      <c r="Q47" s="13">
        <f t="shared" si="3"/>
        <v>3.61</v>
      </c>
      <c r="R47" s="13">
        <f t="shared" si="14"/>
        <v>3.61</v>
      </c>
      <c r="S47" s="13">
        <f t="shared" si="15"/>
        <v>3.61</v>
      </c>
      <c r="T47" s="13">
        <f t="shared" si="16"/>
        <v>3.61</v>
      </c>
    </row>
    <row r="48" spans="1:20" ht="20.25" customHeight="1" thickBot="1" x14ac:dyDescent="0.3">
      <c r="A48" s="57" t="s">
        <v>92</v>
      </c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9"/>
    </row>
    <row r="49" spans="1:20" ht="54" customHeight="1" thickBot="1" x14ac:dyDescent="0.3">
      <c r="A49" s="14" t="s">
        <v>159</v>
      </c>
      <c r="B49" s="19" t="s">
        <v>168</v>
      </c>
      <c r="C49" s="11" t="s">
        <v>208</v>
      </c>
      <c r="D49" s="14" t="s">
        <v>32</v>
      </c>
      <c r="E49" s="14">
        <v>572</v>
      </c>
      <c r="F49" s="15"/>
      <c r="G49" s="15"/>
      <c r="H49" s="15"/>
      <c r="I49" s="51">
        <f>486.08/400</f>
        <v>1.2152000000000001</v>
      </c>
      <c r="J49" s="8"/>
      <c r="K49" s="9"/>
      <c r="L49" s="9"/>
      <c r="M49" s="9"/>
      <c r="N49" s="9">
        <f>AVERAGE(I49:M49)</f>
        <v>1.2152000000000001</v>
      </c>
      <c r="O49" s="13">
        <f>STDEVPA(I49:M49)</f>
        <v>0</v>
      </c>
      <c r="P49" s="13">
        <f t="shared" si="2"/>
        <v>1.2152000000000001</v>
      </c>
      <c r="Q49" s="13">
        <f t="shared" si="3"/>
        <v>1.2152000000000001</v>
      </c>
      <c r="R49" s="9">
        <f>IF(F49&gt;0,F49,IF(G49&gt;0,G49,IF(H49&gt;0,H49,AVERAGEIFS(I49:M49,I49:M49,"&gt;="&amp;Q49,I49:M49,"&lt;="&amp;P49))))</f>
        <v>1.2152000000000001</v>
      </c>
      <c r="S49" s="13">
        <f>IF(F49&gt;0,F49,IF(G49&gt;0,G49,IF(H49&gt;0,H49,MEDIAN(I49:M49))))</f>
        <v>1.2152000000000001</v>
      </c>
      <c r="T49" s="9">
        <f>IF(R49&gt;S49,S49*E49,R49*E49)</f>
        <v>695.09440000000006</v>
      </c>
    </row>
    <row r="50" spans="1:20" ht="18" customHeight="1" thickBot="1" x14ac:dyDescent="0.3">
      <c r="A50" s="14" t="s">
        <v>94</v>
      </c>
      <c r="B50" s="19" t="s">
        <v>170</v>
      </c>
      <c r="C50" s="11" t="s">
        <v>175</v>
      </c>
      <c r="D50" s="14" t="s">
        <v>35</v>
      </c>
      <c r="E50" s="14">
        <v>26</v>
      </c>
      <c r="F50" s="15"/>
      <c r="G50" s="15"/>
      <c r="H50" s="15"/>
      <c r="I50" s="51">
        <v>0.8</v>
      </c>
      <c r="J50" s="8"/>
      <c r="K50" s="9"/>
      <c r="L50" s="9"/>
      <c r="M50" s="9"/>
      <c r="N50" s="9">
        <f>AVERAGE(I50:M50)</f>
        <v>0.8</v>
      </c>
      <c r="O50" s="13">
        <f>STDEVPA(I50:M50)</f>
        <v>0</v>
      </c>
      <c r="P50" s="13">
        <f t="shared" si="2"/>
        <v>0.8</v>
      </c>
      <c r="Q50" s="13">
        <f t="shared" si="3"/>
        <v>0.8</v>
      </c>
      <c r="R50" s="9">
        <f>IF(F50&gt;0,F50,IF(G50&gt;0,G50,IF(H50&gt;0,H50,AVERAGEIFS(I50:M50,I50:M50,"&gt;="&amp;Q50,I50:M50,"&lt;="&amp;P50))))</f>
        <v>0.8</v>
      </c>
      <c r="S50" s="13">
        <f>IF(F50&gt;0,F50,IF(G50&gt;0,G50,IF(H50&gt;0,H50,MEDIAN(I50:M50))))</f>
        <v>0.8</v>
      </c>
      <c r="T50" s="9">
        <f>IF(R50&gt;S50,S50*E50,R50*E50)</f>
        <v>20.8</v>
      </c>
    </row>
    <row r="51" spans="1:20" ht="23.25" customHeight="1" thickBot="1" x14ac:dyDescent="0.3">
      <c r="A51" s="14" t="s">
        <v>95</v>
      </c>
      <c r="B51" s="19" t="s">
        <v>176</v>
      </c>
      <c r="C51" s="11" t="s">
        <v>177</v>
      </c>
      <c r="D51" s="14" t="s">
        <v>35</v>
      </c>
      <c r="E51" s="14">
        <v>1</v>
      </c>
      <c r="F51" s="15"/>
      <c r="G51" s="15"/>
      <c r="H51" s="15"/>
      <c r="I51" s="51">
        <v>0.76</v>
      </c>
      <c r="J51" s="8"/>
      <c r="K51" s="9"/>
      <c r="L51" s="9"/>
      <c r="M51" s="9"/>
      <c r="N51" s="9">
        <f>AVERAGE(I51:M51)</f>
        <v>0.76</v>
      </c>
      <c r="O51" s="13">
        <f>STDEVPA(I51:M51)</f>
        <v>0</v>
      </c>
      <c r="P51" s="13">
        <f t="shared" si="2"/>
        <v>0.76</v>
      </c>
      <c r="Q51" s="13">
        <f t="shared" si="3"/>
        <v>0.76</v>
      </c>
      <c r="R51" s="9">
        <f>IF(F51&gt;0,F51,IF(G51&gt;0,G51,IF(H51&gt;0,H51,AVERAGEIFS(I51:M51,I51:M51,"&gt;="&amp;Q51,I51:M51,"&lt;="&amp;P51))))</f>
        <v>0.76</v>
      </c>
      <c r="S51" s="13">
        <f>IF(F51&gt;0,F51,IF(G51&gt;0,G51,IF(H51&gt;0,H51,MEDIAN(I51:M51))))</f>
        <v>0.76</v>
      </c>
      <c r="T51" s="9">
        <f>IF(R51&gt;S51,S51*E51,R51*E51)</f>
        <v>0.76</v>
      </c>
    </row>
    <row r="52" spans="1:20" ht="23.25" customHeight="1" thickBot="1" x14ac:dyDescent="0.3">
      <c r="A52" s="57" t="s">
        <v>98</v>
      </c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9"/>
    </row>
    <row r="53" spans="1:20" ht="33" customHeight="1" thickBot="1" x14ac:dyDescent="0.3">
      <c r="A53" s="7" t="s">
        <v>93</v>
      </c>
      <c r="B53" s="19" t="s">
        <v>282</v>
      </c>
      <c r="C53" s="11" t="s">
        <v>116</v>
      </c>
      <c r="D53" s="14" t="s">
        <v>3</v>
      </c>
      <c r="E53" s="14">
        <v>3.1800000000000002E-2</v>
      </c>
      <c r="F53" s="15">
        <f>422.14</f>
        <v>422.14</v>
      </c>
      <c r="G53" s="15"/>
      <c r="H53" s="15"/>
      <c r="I53" s="15"/>
      <c r="J53" s="8"/>
      <c r="K53" s="9"/>
      <c r="L53" s="9"/>
      <c r="M53" s="9"/>
      <c r="N53" s="9" t="e">
        <f>AVERAGE(I53:M53)</f>
        <v>#DIV/0!</v>
      </c>
      <c r="O53" s="13" t="e">
        <f>STDEVPA(I53:M53)</f>
        <v>#DIV/0!</v>
      </c>
      <c r="P53" s="13" t="e">
        <f t="shared" si="2"/>
        <v>#DIV/0!</v>
      </c>
      <c r="Q53" s="13" t="e">
        <f t="shared" si="3"/>
        <v>#DIV/0!</v>
      </c>
      <c r="R53" s="9">
        <f>IF(F53&gt;0,F53,IF(G53&gt;0,G53,IF(H53&gt;0,H53,AVERAGEIFS(I53:M53,I53:M53,"&gt;="&amp;Q53,I53:M53,"&lt;="&amp;P53))))</f>
        <v>422.14</v>
      </c>
      <c r="S53" s="13">
        <f>IF(F53&gt;0,F53,IF(G53&gt;0,G53,IF(H53&gt;0,H53,MEDIAN(I53:M53))))</f>
        <v>422.14</v>
      </c>
      <c r="T53" s="9">
        <f>IF(R53&gt;S53,S53*E53,R53*E53)</f>
        <v>13.424052</v>
      </c>
    </row>
    <row r="54" spans="1:20" ht="34.5" customHeight="1" thickBot="1" x14ac:dyDescent="0.3">
      <c r="A54" s="7" t="s">
        <v>99</v>
      </c>
      <c r="B54" s="19" t="s">
        <v>283</v>
      </c>
      <c r="C54" s="11" t="s">
        <v>117</v>
      </c>
      <c r="D54" s="14" t="s">
        <v>35</v>
      </c>
      <c r="E54" s="14">
        <v>1</v>
      </c>
      <c r="F54" s="15">
        <f>105.37</f>
        <v>105.37</v>
      </c>
      <c r="G54" s="15"/>
      <c r="H54" s="15"/>
      <c r="I54" s="15"/>
      <c r="J54" s="8"/>
      <c r="K54" s="9"/>
      <c r="L54" s="9"/>
      <c r="M54" s="9"/>
      <c r="N54" s="9" t="e">
        <f>AVERAGE(I54:M54)</f>
        <v>#DIV/0!</v>
      </c>
      <c r="O54" s="13" t="e">
        <f>STDEVPA(I54:M54)</f>
        <v>#DIV/0!</v>
      </c>
      <c r="P54" s="13" t="e">
        <f t="shared" si="2"/>
        <v>#DIV/0!</v>
      </c>
      <c r="Q54" s="13" t="e">
        <f t="shared" si="3"/>
        <v>#DIV/0!</v>
      </c>
      <c r="R54" s="9">
        <f>IF(F54&gt;0,F54,IF(G54&gt;0,G54,IF(H54&gt;0,H54,AVERAGEIFS(I54:M54,I54:M54,"&gt;="&amp;Q54,I54:M54,"&lt;="&amp;P54))))</f>
        <v>105.37</v>
      </c>
      <c r="S54" s="13">
        <f>IF(F54&gt;0,F54,IF(G54&gt;0,G54,IF(H54&gt;0,H54,MEDIAN(I54:M54))))</f>
        <v>105.37</v>
      </c>
      <c r="T54" s="9">
        <f>IF(R54&gt;S54,S54*E54,R54*E54)</f>
        <v>105.37</v>
      </c>
    </row>
    <row r="55" spans="1:20" ht="24" customHeight="1" thickBot="1" x14ac:dyDescent="0.3">
      <c r="A55" s="7" t="s">
        <v>100</v>
      </c>
      <c r="B55" s="19" t="s">
        <v>284</v>
      </c>
      <c r="C55" s="11" t="s">
        <v>118</v>
      </c>
      <c r="D55" s="14" t="s">
        <v>35</v>
      </c>
      <c r="E55" s="14">
        <v>1</v>
      </c>
      <c r="F55" s="15">
        <f>85.96</f>
        <v>85.96</v>
      </c>
      <c r="G55" s="15"/>
      <c r="H55" s="15"/>
      <c r="I55" s="15"/>
      <c r="J55" s="8"/>
      <c r="K55" s="9"/>
      <c r="L55" s="9"/>
      <c r="M55" s="9"/>
      <c r="N55" s="9" t="e">
        <f>AVERAGE(I55:M55)</f>
        <v>#DIV/0!</v>
      </c>
      <c r="O55" s="13" t="e">
        <f>STDEVPA(I55:M55)</f>
        <v>#DIV/0!</v>
      </c>
      <c r="P55" s="13" t="e">
        <f t="shared" si="2"/>
        <v>#DIV/0!</v>
      </c>
      <c r="Q55" s="13" t="e">
        <f t="shared" si="3"/>
        <v>#DIV/0!</v>
      </c>
      <c r="R55" s="9">
        <f>IF(F55&gt;0,F55,IF(G55&gt;0,G55,IF(H55&gt;0,H55,AVERAGEIFS(I55:M55,I55:M55,"&gt;="&amp;Q55,I55:M55,"&lt;="&amp;P55))))</f>
        <v>85.96</v>
      </c>
      <c r="S55" s="13">
        <f>IF(F55&gt;0,F55,IF(G55&gt;0,G55,IF(H55&gt;0,H55,MEDIAN(I55:M55))))</f>
        <v>85.96</v>
      </c>
      <c r="T55" s="9">
        <f>IF(R55&gt;S55,S55*E55,R55*E55)</f>
        <v>85.96</v>
      </c>
    </row>
    <row r="56" spans="1:20" ht="24" customHeight="1" thickBot="1" x14ac:dyDescent="0.3">
      <c r="A56" s="57" t="s">
        <v>214</v>
      </c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9"/>
    </row>
    <row r="57" spans="1:20" ht="24" customHeight="1" thickBot="1" x14ac:dyDescent="0.3">
      <c r="A57" s="14" t="s">
        <v>119</v>
      </c>
      <c r="B57" s="19" t="s">
        <v>219</v>
      </c>
      <c r="C57" s="11" t="s">
        <v>220</v>
      </c>
      <c r="D57" s="14" t="s">
        <v>32</v>
      </c>
      <c r="E57" s="14">
        <v>100</v>
      </c>
      <c r="F57" s="51"/>
      <c r="G57" s="15"/>
      <c r="H57" s="15"/>
      <c r="I57" s="51">
        <f>184.41/50</f>
        <v>3.6882000000000001</v>
      </c>
      <c r="J57" s="8"/>
      <c r="K57" s="9"/>
      <c r="L57" s="9"/>
      <c r="M57" s="9"/>
      <c r="N57" s="9">
        <f t="shared" ref="N57:N64" si="17">AVERAGE(I57:M57)</f>
        <v>3.6882000000000001</v>
      </c>
      <c r="O57" s="13">
        <f t="shared" ref="O57:O64" si="18">STDEVPA(I57:M57)</f>
        <v>0</v>
      </c>
      <c r="P57" s="13">
        <f t="shared" ref="P57:P63" si="19">N57+O57</f>
        <v>3.6882000000000001</v>
      </c>
      <c r="Q57" s="13">
        <f t="shared" ref="Q57:Q63" si="20">N57-O57</f>
        <v>3.6882000000000001</v>
      </c>
      <c r="R57" s="9">
        <f t="shared" ref="R57:R64" si="21">IF(F57&gt;0,F57,IF(G57&gt;0,G57,IF(H57&gt;0,H57,AVERAGEIFS(I57:M57,I57:M57,"&gt;="&amp;Q57,I57:M57,"&lt;="&amp;P57))))</f>
        <v>3.6882000000000001</v>
      </c>
      <c r="S57" s="13">
        <f t="shared" ref="S57:S64" si="22">IF(F57&gt;0,F57,IF(G57&gt;0,G57,IF(H57&gt;0,H57,MEDIAN(I57:M57))))</f>
        <v>3.6882000000000001</v>
      </c>
      <c r="T57" s="9">
        <f t="shared" ref="T57:T64" si="23">IF(R57&gt;S57,S57*E57,R57*E57)</f>
        <v>368.82</v>
      </c>
    </row>
    <row r="58" spans="1:20" ht="33.75" customHeight="1" thickBot="1" x14ac:dyDescent="0.3">
      <c r="A58" s="14" t="s">
        <v>120</v>
      </c>
      <c r="B58" s="19" t="s">
        <v>221</v>
      </c>
      <c r="C58" s="11" t="s">
        <v>222</v>
      </c>
      <c r="D58" s="14" t="s">
        <v>35</v>
      </c>
      <c r="E58" s="14">
        <v>37</v>
      </c>
      <c r="F58" s="51">
        <v>19.829999999999998</v>
      </c>
      <c r="G58" s="15"/>
      <c r="H58" s="15"/>
      <c r="I58" s="13"/>
      <c r="J58" s="8"/>
      <c r="K58" s="9"/>
      <c r="L58" s="9"/>
      <c r="M58" s="9"/>
      <c r="N58" s="9" t="e">
        <f t="shared" si="17"/>
        <v>#DIV/0!</v>
      </c>
      <c r="O58" s="13" t="e">
        <f t="shared" si="18"/>
        <v>#DIV/0!</v>
      </c>
      <c r="P58" s="13" t="e">
        <f t="shared" si="19"/>
        <v>#DIV/0!</v>
      </c>
      <c r="Q58" s="13" t="e">
        <f t="shared" si="20"/>
        <v>#DIV/0!</v>
      </c>
      <c r="R58" s="9">
        <f t="shared" si="21"/>
        <v>19.829999999999998</v>
      </c>
      <c r="S58" s="13">
        <f t="shared" si="22"/>
        <v>19.829999999999998</v>
      </c>
      <c r="T58" s="9">
        <f t="shared" si="23"/>
        <v>733.70999999999992</v>
      </c>
    </row>
    <row r="59" spans="1:20" ht="24" customHeight="1" thickBot="1" x14ac:dyDescent="0.3">
      <c r="A59" s="14" t="s">
        <v>121</v>
      </c>
      <c r="B59" s="19" t="s">
        <v>223</v>
      </c>
      <c r="C59" s="11" t="s">
        <v>224</v>
      </c>
      <c r="D59" s="14" t="s">
        <v>32</v>
      </c>
      <c r="E59" s="14">
        <v>10</v>
      </c>
      <c r="F59" s="51">
        <v>2.91</v>
      </c>
      <c r="G59" s="15"/>
      <c r="H59" s="15"/>
      <c r="I59" s="51"/>
      <c r="J59" s="8"/>
      <c r="K59" s="9"/>
      <c r="L59" s="9"/>
      <c r="M59" s="9"/>
      <c r="N59" s="9" t="e">
        <f t="shared" si="17"/>
        <v>#DIV/0!</v>
      </c>
      <c r="O59" s="13" t="e">
        <f t="shared" si="18"/>
        <v>#DIV/0!</v>
      </c>
      <c r="P59" s="13" t="e">
        <f t="shared" si="19"/>
        <v>#DIV/0!</v>
      </c>
      <c r="Q59" s="13" t="e">
        <f t="shared" si="20"/>
        <v>#DIV/0!</v>
      </c>
      <c r="R59" s="9">
        <f t="shared" si="21"/>
        <v>2.91</v>
      </c>
      <c r="S59" s="13">
        <f t="shared" si="22"/>
        <v>2.91</v>
      </c>
      <c r="T59" s="9">
        <f t="shared" si="23"/>
        <v>29.1</v>
      </c>
    </row>
    <row r="60" spans="1:20" ht="33" customHeight="1" thickBot="1" x14ac:dyDescent="0.3">
      <c r="A60" s="14" t="s">
        <v>122</v>
      </c>
      <c r="B60" s="19" t="s">
        <v>225</v>
      </c>
      <c r="C60" s="11" t="s">
        <v>226</v>
      </c>
      <c r="D60" s="14" t="s">
        <v>35</v>
      </c>
      <c r="E60" s="14">
        <v>1</v>
      </c>
      <c r="F60" s="51">
        <v>2.87</v>
      </c>
      <c r="G60" s="15"/>
      <c r="H60" s="15"/>
      <c r="I60" s="51"/>
      <c r="J60" s="8"/>
      <c r="K60" s="9"/>
      <c r="L60" s="9"/>
      <c r="M60" s="9"/>
      <c r="N60" s="9" t="e">
        <f t="shared" si="17"/>
        <v>#DIV/0!</v>
      </c>
      <c r="O60" s="13" t="e">
        <f t="shared" si="18"/>
        <v>#DIV/0!</v>
      </c>
      <c r="P60" s="13" t="e">
        <f t="shared" si="19"/>
        <v>#DIV/0!</v>
      </c>
      <c r="Q60" s="13" t="e">
        <f t="shared" si="20"/>
        <v>#DIV/0!</v>
      </c>
      <c r="R60" s="9">
        <f t="shared" si="21"/>
        <v>2.87</v>
      </c>
      <c r="S60" s="13">
        <f t="shared" si="22"/>
        <v>2.87</v>
      </c>
      <c r="T60" s="9">
        <f t="shared" si="23"/>
        <v>2.87</v>
      </c>
    </row>
    <row r="61" spans="1:20" ht="24" customHeight="1" thickBot="1" x14ac:dyDescent="0.3">
      <c r="A61" s="14" t="s">
        <v>215</v>
      </c>
      <c r="B61" s="19" t="s">
        <v>227</v>
      </c>
      <c r="C61" s="11" t="s">
        <v>228</v>
      </c>
      <c r="D61" s="14" t="s">
        <v>35</v>
      </c>
      <c r="E61" s="14">
        <v>6</v>
      </c>
      <c r="F61" s="51">
        <v>0.05</v>
      </c>
      <c r="G61" s="15"/>
      <c r="H61" s="15"/>
      <c r="I61" s="13"/>
      <c r="J61" s="8"/>
      <c r="K61" s="9"/>
      <c r="L61" s="9"/>
      <c r="M61" s="9"/>
      <c r="N61" s="9" t="e">
        <f t="shared" si="17"/>
        <v>#DIV/0!</v>
      </c>
      <c r="O61" s="13" t="e">
        <f t="shared" si="18"/>
        <v>#DIV/0!</v>
      </c>
      <c r="P61" s="13" t="e">
        <f t="shared" si="19"/>
        <v>#DIV/0!</v>
      </c>
      <c r="Q61" s="13" t="e">
        <f t="shared" si="20"/>
        <v>#DIV/0!</v>
      </c>
      <c r="R61" s="9">
        <f t="shared" si="21"/>
        <v>0.05</v>
      </c>
      <c r="S61" s="13">
        <f t="shared" si="22"/>
        <v>0.05</v>
      </c>
      <c r="T61" s="9">
        <f t="shared" si="23"/>
        <v>0.30000000000000004</v>
      </c>
    </row>
    <row r="62" spans="1:20" ht="33.75" customHeight="1" thickBot="1" x14ac:dyDescent="0.3">
      <c r="A62" s="14" t="s">
        <v>216</v>
      </c>
      <c r="B62" s="19" t="s">
        <v>229</v>
      </c>
      <c r="C62" s="11" t="s">
        <v>230</v>
      </c>
      <c r="D62" s="14" t="s">
        <v>35</v>
      </c>
      <c r="E62" s="14">
        <v>2</v>
      </c>
      <c r="F62" s="51">
        <v>5.1100000000000003</v>
      </c>
      <c r="G62" s="15"/>
      <c r="H62" s="15"/>
      <c r="I62" s="13"/>
      <c r="J62" s="8"/>
      <c r="K62" s="9"/>
      <c r="L62" s="9"/>
      <c r="M62" s="9"/>
      <c r="N62" s="9" t="e">
        <f t="shared" si="17"/>
        <v>#DIV/0!</v>
      </c>
      <c r="O62" s="13" t="e">
        <f t="shared" si="18"/>
        <v>#DIV/0!</v>
      </c>
      <c r="P62" s="13" t="e">
        <f t="shared" si="19"/>
        <v>#DIV/0!</v>
      </c>
      <c r="Q62" s="13" t="e">
        <f t="shared" si="20"/>
        <v>#DIV/0!</v>
      </c>
      <c r="R62" s="9">
        <f t="shared" si="21"/>
        <v>5.1100000000000003</v>
      </c>
      <c r="S62" s="13">
        <f t="shared" si="22"/>
        <v>5.1100000000000003</v>
      </c>
      <c r="T62" s="9">
        <f t="shared" si="23"/>
        <v>10.220000000000001</v>
      </c>
    </row>
    <row r="63" spans="1:20" ht="24" customHeight="1" thickBot="1" x14ac:dyDescent="0.3">
      <c r="A63" s="14" t="s">
        <v>217</v>
      </c>
      <c r="B63" s="19" t="s">
        <v>231</v>
      </c>
      <c r="C63" s="11" t="s">
        <v>232</v>
      </c>
      <c r="D63" s="14" t="s">
        <v>233</v>
      </c>
      <c r="E63" s="14">
        <v>1</v>
      </c>
      <c r="F63" s="51">
        <v>23.63</v>
      </c>
      <c r="G63" s="15"/>
      <c r="H63" s="15"/>
      <c r="I63" s="13"/>
      <c r="J63" s="8"/>
      <c r="K63" s="9"/>
      <c r="L63" s="9"/>
      <c r="M63" s="9"/>
      <c r="N63" s="9" t="e">
        <f t="shared" si="17"/>
        <v>#DIV/0!</v>
      </c>
      <c r="O63" s="13" t="e">
        <f t="shared" si="18"/>
        <v>#DIV/0!</v>
      </c>
      <c r="P63" s="13" t="e">
        <f t="shared" si="19"/>
        <v>#DIV/0!</v>
      </c>
      <c r="Q63" s="13" t="e">
        <f t="shared" si="20"/>
        <v>#DIV/0!</v>
      </c>
      <c r="R63" s="9">
        <f t="shared" si="21"/>
        <v>23.63</v>
      </c>
      <c r="S63" s="13">
        <f t="shared" si="22"/>
        <v>23.63</v>
      </c>
      <c r="T63" s="9">
        <f t="shared" si="23"/>
        <v>23.63</v>
      </c>
    </row>
    <row r="64" spans="1:20" ht="24" customHeight="1" thickBot="1" x14ac:dyDescent="0.3">
      <c r="A64" s="14" t="s">
        <v>218</v>
      </c>
      <c r="B64" s="19" t="s">
        <v>234</v>
      </c>
      <c r="C64" s="11" t="s">
        <v>235</v>
      </c>
      <c r="D64" s="14" t="s">
        <v>233</v>
      </c>
      <c r="E64" s="14">
        <v>5.2</v>
      </c>
      <c r="F64" s="51">
        <v>19</v>
      </c>
      <c r="G64" s="15"/>
      <c r="H64" s="15"/>
      <c r="I64" s="13"/>
      <c r="J64" s="8"/>
      <c r="K64" s="9"/>
      <c r="L64" s="9"/>
      <c r="M64" s="9"/>
      <c r="N64" s="9" t="e">
        <f t="shared" si="17"/>
        <v>#DIV/0!</v>
      </c>
      <c r="O64" s="13" t="e">
        <f t="shared" si="18"/>
        <v>#DIV/0!</v>
      </c>
      <c r="P64" s="13" t="e">
        <f t="shared" ref="P64" si="24">N64+O64</f>
        <v>#DIV/0!</v>
      </c>
      <c r="Q64" s="13" t="e">
        <f t="shared" ref="Q64" si="25">N64-O64</f>
        <v>#DIV/0!</v>
      </c>
      <c r="R64" s="9">
        <f t="shared" si="21"/>
        <v>19</v>
      </c>
      <c r="S64" s="13">
        <f t="shared" si="22"/>
        <v>19</v>
      </c>
      <c r="T64" s="9">
        <f t="shared" si="23"/>
        <v>98.8</v>
      </c>
    </row>
    <row r="65" spans="1:20" s="4" customFormat="1" ht="21.75" customHeight="1" thickBot="1" x14ac:dyDescent="0.3">
      <c r="A65" s="76" t="s">
        <v>186</v>
      </c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8"/>
    </row>
    <row r="66" spans="1:20" s="4" customFormat="1" ht="18.75" customHeight="1" thickBot="1" x14ac:dyDescent="0.3">
      <c r="A66" s="14" t="s">
        <v>130</v>
      </c>
      <c r="B66" s="45" t="s">
        <v>236</v>
      </c>
      <c r="C66" s="11" t="s">
        <v>237</v>
      </c>
      <c r="D66" s="14" t="s">
        <v>35</v>
      </c>
      <c r="E66" s="14">
        <v>1</v>
      </c>
      <c r="F66" s="15">
        <v>16.95</v>
      </c>
      <c r="G66" s="15"/>
      <c r="H66" s="15"/>
      <c r="I66" s="15"/>
      <c r="J66" s="15"/>
      <c r="K66" s="13"/>
      <c r="L66" s="13"/>
      <c r="M66" s="13"/>
      <c r="N66" s="13" t="e">
        <f>AVERAGE(I66:M66)</f>
        <v>#DIV/0!</v>
      </c>
      <c r="O66" s="13" t="e">
        <f>STDEVPA(I66:M66)</f>
        <v>#DIV/0!</v>
      </c>
      <c r="P66" s="13" t="e">
        <f>N66+O66</f>
        <v>#DIV/0!</v>
      </c>
      <c r="Q66" s="13" t="e">
        <f>N66-O66</f>
        <v>#DIV/0!</v>
      </c>
      <c r="R66" s="13">
        <f>IF(F66&gt;0,F66,IF(G66&gt;0,G66,IF(H66&gt;0,H66,AVERAGEIFS(I66:M66,I66:M66,"&gt;="&amp;Q66,I66:M66,"&lt;="&amp;P66))))</f>
        <v>16.95</v>
      </c>
      <c r="S66" s="13">
        <f>IF(F66&gt;0,F66,IF(G66&gt;0,G66,IF(H66&gt;0,H66,MEDIAN(I66:M66))))</f>
        <v>16.95</v>
      </c>
      <c r="T66" s="13">
        <f>IF(R66&gt;S66,S66*E66,R66*E66)</f>
        <v>16.95</v>
      </c>
    </row>
    <row r="67" spans="1:20" s="4" customFormat="1" ht="17.25" customHeight="1" thickBot="1" x14ac:dyDescent="0.3">
      <c r="A67" s="14" t="s">
        <v>131</v>
      </c>
      <c r="B67" s="45" t="s">
        <v>238</v>
      </c>
      <c r="C67" s="11" t="s">
        <v>239</v>
      </c>
      <c r="D67" s="14" t="s">
        <v>35</v>
      </c>
      <c r="E67" s="14">
        <v>1</v>
      </c>
      <c r="F67" s="15"/>
      <c r="G67" s="15"/>
      <c r="H67" s="15"/>
      <c r="I67" s="51">
        <v>15.9</v>
      </c>
      <c r="J67" s="15"/>
      <c r="K67" s="13"/>
      <c r="L67" s="13"/>
      <c r="M67" s="13"/>
      <c r="N67" s="13">
        <f>AVERAGE(I67:M67)</f>
        <v>15.9</v>
      </c>
      <c r="O67" s="13">
        <f>STDEVPA(I67:M67)</f>
        <v>0</v>
      </c>
      <c r="P67" s="13">
        <f t="shared" ref="P67:P69" si="26">N67+O67</f>
        <v>15.9</v>
      </c>
      <c r="Q67" s="13">
        <f t="shared" ref="Q67:Q69" si="27">N67-O67</f>
        <v>15.9</v>
      </c>
      <c r="R67" s="13">
        <f>IF(F67&gt;0,F67,IF(G67&gt;0,G67,IF(H67&gt;0,H67,AVERAGEIFS(I67:M67,I67:M67,"&gt;="&amp;Q67,I67:M67,"&lt;="&amp;P67))))</f>
        <v>15.9</v>
      </c>
      <c r="S67" s="13">
        <f>IF(F67&gt;0,F67,IF(G67&gt;0,G67,IF(H67&gt;0,H67,MEDIAN(I67:M67))))</f>
        <v>15.9</v>
      </c>
      <c r="T67" s="13">
        <f>IF(R67&gt;S67,S67*E67,R67*E67)</f>
        <v>15.9</v>
      </c>
    </row>
    <row r="68" spans="1:20" s="4" customFormat="1" ht="19.5" customHeight="1" thickBot="1" x14ac:dyDescent="0.3">
      <c r="A68" s="14" t="s">
        <v>132</v>
      </c>
      <c r="B68" s="45" t="s">
        <v>179</v>
      </c>
      <c r="C68" s="11" t="s">
        <v>180</v>
      </c>
      <c r="D68" s="14" t="s">
        <v>35</v>
      </c>
      <c r="E68" s="14">
        <v>1</v>
      </c>
      <c r="F68" s="15">
        <v>2.8</v>
      </c>
      <c r="G68" s="15"/>
      <c r="H68" s="15"/>
      <c r="I68" s="15"/>
      <c r="J68" s="15"/>
      <c r="K68" s="13"/>
      <c r="L68" s="13"/>
      <c r="M68" s="13"/>
      <c r="N68" s="13" t="e">
        <f>AVERAGE(I68:M68)</f>
        <v>#DIV/0!</v>
      </c>
      <c r="O68" s="13" t="e">
        <f>STDEVPA(I68:M68)</f>
        <v>#DIV/0!</v>
      </c>
      <c r="P68" s="13" t="e">
        <f t="shared" si="26"/>
        <v>#DIV/0!</v>
      </c>
      <c r="Q68" s="13" t="e">
        <f t="shared" si="27"/>
        <v>#DIV/0!</v>
      </c>
      <c r="R68" s="13">
        <f>IF(F68&gt;0,F68,IF(G68&gt;0,G68,IF(H68&gt;0,H68,AVERAGEIFS(I68:M68,I68:M68,"&gt;="&amp;Q68,I68:M68,"&lt;="&amp;P68))))</f>
        <v>2.8</v>
      </c>
      <c r="S68" s="13">
        <f>IF(F68&gt;0,F68,IF(G68&gt;0,G68,IF(H68&gt;0,H68,MEDIAN(I68:M68))))</f>
        <v>2.8</v>
      </c>
      <c r="T68" s="13">
        <f>IF(R68&gt;S68,S68*E68,R68*E68)</f>
        <v>2.8</v>
      </c>
    </row>
    <row r="69" spans="1:20" s="4" customFormat="1" ht="18" customHeight="1" thickBot="1" x14ac:dyDescent="0.3">
      <c r="A69" s="14" t="s">
        <v>133</v>
      </c>
      <c r="B69" s="45">
        <v>38383</v>
      </c>
      <c r="C69" s="11" t="s">
        <v>127</v>
      </c>
      <c r="D69" s="14" t="s">
        <v>35</v>
      </c>
      <c r="E69" s="14">
        <v>2</v>
      </c>
      <c r="F69" s="15">
        <f>2.11</f>
        <v>2.11</v>
      </c>
      <c r="G69" s="15"/>
      <c r="H69" s="15"/>
      <c r="I69" s="15"/>
      <c r="J69" s="15"/>
      <c r="K69" s="13"/>
      <c r="L69" s="13"/>
      <c r="M69" s="13"/>
      <c r="N69" s="13" t="e">
        <f>AVERAGE(I69:M69)</f>
        <v>#DIV/0!</v>
      </c>
      <c r="O69" s="13" t="e">
        <f>STDEVPA(I69:M69)</f>
        <v>#DIV/0!</v>
      </c>
      <c r="P69" s="13" t="e">
        <f t="shared" si="26"/>
        <v>#DIV/0!</v>
      </c>
      <c r="Q69" s="13" t="e">
        <f t="shared" si="27"/>
        <v>#DIV/0!</v>
      </c>
      <c r="R69" s="13">
        <f>IF(F69&gt;0,F69,IF(G69&gt;0,G69,IF(H69&gt;0,H69,AVERAGEIFS(I69:M69,I69:M69,"&gt;="&amp;Q69,I69:M69,"&lt;="&amp;P69))))</f>
        <v>2.11</v>
      </c>
      <c r="S69" s="13">
        <f>IF(F69&gt;0,F69,IF(G69&gt;0,G69,IF(H69&gt;0,H69,MEDIAN(I69:M69))))</f>
        <v>2.11</v>
      </c>
      <c r="T69" s="13">
        <f>IF(R69&gt;S69,S69*E69,R69*E69)</f>
        <v>4.22</v>
      </c>
    </row>
    <row r="70" spans="1:20" s="6" customFormat="1" ht="16.5" thickBot="1" x14ac:dyDescent="0.3">
      <c r="A70" s="64" t="s">
        <v>128</v>
      </c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</row>
    <row r="71" spans="1:20" s="6" customFormat="1" ht="16.5" thickBot="1" x14ac:dyDescent="0.3">
      <c r="A71" s="64" t="s">
        <v>181</v>
      </c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</row>
    <row r="72" spans="1:20" ht="36.75" customHeight="1" thickBot="1" x14ac:dyDescent="0.3">
      <c r="A72" s="14" t="s">
        <v>182</v>
      </c>
      <c r="B72" s="19" t="s">
        <v>285</v>
      </c>
      <c r="C72" s="11" t="s">
        <v>134</v>
      </c>
      <c r="D72" s="14" t="s">
        <v>135</v>
      </c>
      <c r="E72" s="14">
        <v>8</v>
      </c>
      <c r="F72" s="15">
        <f>22.7</f>
        <v>22.7</v>
      </c>
      <c r="G72" s="15"/>
      <c r="H72" s="15"/>
      <c r="I72" s="15"/>
      <c r="J72" s="8"/>
      <c r="K72" s="9"/>
      <c r="L72" s="9"/>
      <c r="M72" s="9"/>
      <c r="N72" s="9" t="e">
        <f>AVERAGE(I72:M72)</f>
        <v>#DIV/0!</v>
      </c>
      <c r="O72" s="13" t="e">
        <f>STDEVPA(I72:M72)</f>
        <v>#DIV/0!</v>
      </c>
      <c r="P72" s="13" t="e">
        <f t="shared" ref="P72:P75" si="28">N72+O72</f>
        <v>#DIV/0!</v>
      </c>
      <c r="Q72" s="13" t="e">
        <f t="shared" ref="Q72:Q75" si="29">N72-O72</f>
        <v>#DIV/0!</v>
      </c>
      <c r="R72" s="9">
        <f>IF(F72&gt;0,F72,IF(G72&gt;0,G72,IF(H72&gt;0,H72,AVERAGEIFS(I72:M72,I72:M72,"&gt;="&amp;Q72,I72:M72,"&lt;="&amp;P72))))</f>
        <v>22.7</v>
      </c>
      <c r="S72" s="13">
        <f>IF(F72&gt;0,F72,IF(G72&gt;0,G72,IF(H72&gt;0,H72,MEDIAN(I72:M72))))</f>
        <v>22.7</v>
      </c>
      <c r="T72" s="9">
        <f>IF(R72&gt;S72,S72*E72,R72*E72)</f>
        <v>181.6</v>
      </c>
    </row>
    <row r="73" spans="1:20" ht="33" customHeight="1" thickBot="1" x14ac:dyDescent="0.3">
      <c r="A73" s="14" t="s">
        <v>183</v>
      </c>
      <c r="B73" s="19" t="s">
        <v>136</v>
      </c>
      <c r="C73" s="11" t="s">
        <v>240</v>
      </c>
      <c r="D73" s="14" t="s">
        <v>135</v>
      </c>
      <c r="E73" s="14">
        <v>8</v>
      </c>
      <c r="F73" s="15">
        <v>18.89</v>
      </c>
      <c r="G73" s="15"/>
      <c r="H73" s="15"/>
      <c r="I73" s="15"/>
      <c r="J73" s="8"/>
      <c r="K73" s="9"/>
      <c r="L73" s="9"/>
      <c r="M73" s="9"/>
      <c r="N73" s="9" t="e">
        <f>AVERAGE(I73:M73)</f>
        <v>#DIV/0!</v>
      </c>
      <c r="O73" s="13" t="e">
        <f>STDEVPA(I73:M73)</f>
        <v>#DIV/0!</v>
      </c>
      <c r="P73" s="13" t="e">
        <f t="shared" si="28"/>
        <v>#DIV/0!</v>
      </c>
      <c r="Q73" s="13" t="e">
        <f t="shared" si="29"/>
        <v>#DIV/0!</v>
      </c>
      <c r="R73" s="9">
        <f>IF(F73&gt;0,F73,IF(G73&gt;0,G73,IF(H73&gt;0,H73,AVERAGEIFS(I73:M73,I73:M73,"&gt;="&amp;Q73,I73:M73,"&lt;="&amp;P73))))</f>
        <v>18.89</v>
      </c>
      <c r="S73" s="13">
        <f>IF(F73&gt;0,F73,IF(G73&gt;0,G73,IF(H73&gt;0,H73,MEDIAN(I73:M73))))</f>
        <v>18.89</v>
      </c>
      <c r="T73" s="9">
        <f>IF(R73&gt;S73,S73*E73,R73*E73)</f>
        <v>151.12</v>
      </c>
    </row>
    <row r="74" spans="1:20" ht="33.75" customHeight="1" thickBot="1" x14ac:dyDescent="0.3">
      <c r="A74" s="14" t="s">
        <v>184</v>
      </c>
      <c r="B74" s="19" t="s">
        <v>241</v>
      </c>
      <c r="C74" s="11" t="s">
        <v>242</v>
      </c>
      <c r="D74" s="14" t="s">
        <v>135</v>
      </c>
      <c r="E74" s="14">
        <v>24</v>
      </c>
      <c r="F74" s="15">
        <v>22.2</v>
      </c>
      <c r="G74" s="15"/>
      <c r="H74" s="15"/>
      <c r="I74" s="15"/>
      <c r="J74" s="8"/>
      <c r="K74" s="9"/>
      <c r="L74" s="9"/>
      <c r="M74" s="9"/>
      <c r="N74" s="9" t="e">
        <f>AVERAGE(I74:M74)</f>
        <v>#DIV/0!</v>
      </c>
      <c r="O74" s="13" t="e">
        <f>STDEVPA(I74:M74)</f>
        <v>#DIV/0!</v>
      </c>
      <c r="P74" s="13" t="e">
        <f t="shared" si="28"/>
        <v>#DIV/0!</v>
      </c>
      <c r="Q74" s="13" t="e">
        <f t="shared" si="29"/>
        <v>#DIV/0!</v>
      </c>
      <c r="R74" s="9">
        <f>IF(F74&gt;0,F74,IF(G74&gt;0,G74,IF(H74&gt;0,H74,AVERAGEIFS(I74:M74,I74:M74,"&gt;="&amp;Q74,I74:M74,"&lt;="&amp;P74))))</f>
        <v>22.2</v>
      </c>
      <c r="S74" s="13">
        <f>IF(F74&gt;0,F74,IF(G74&gt;0,G74,IF(H74&gt;0,H74,MEDIAN(I74:M74))))</f>
        <v>22.2</v>
      </c>
      <c r="T74" s="9">
        <f>IF(R74&gt;S74,S74*E74,R74*E74)</f>
        <v>532.79999999999995</v>
      </c>
    </row>
    <row r="75" spans="1:20" ht="35.25" customHeight="1" thickBot="1" x14ac:dyDescent="0.3">
      <c r="A75" s="14" t="s">
        <v>185</v>
      </c>
      <c r="B75" s="19" t="s">
        <v>243</v>
      </c>
      <c r="C75" s="11" t="s">
        <v>244</v>
      </c>
      <c r="D75" s="14" t="s">
        <v>135</v>
      </c>
      <c r="E75" s="14">
        <v>24</v>
      </c>
      <c r="F75" s="15">
        <v>19.39</v>
      </c>
      <c r="G75" s="15"/>
      <c r="H75" s="15"/>
      <c r="I75" s="15"/>
      <c r="J75" s="8"/>
      <c r="K75" s="9"/>
      <c r="L75" s="9"/>
      <c r="M75" s="9"/>
      <c r="N75" s="9" t="e">
        <f>AVERAGE(I75:M75)</f>
        <v>#DIV/0!</v>
      </c>
      <c r="O75" s="13" t="e">
        <f>STDEVPA(I75:M75)</f>
        <v>#DIV/0!</v>
      </c>
      <c r="P75" s="13" t="e">
        <f t="shared" si="28"/>
        <v>#DIV/0!</v>
      </c>
      <c r="Q75" s="13" t="e">
        <f t="shared" si="29"/>
        <v>#DIV/0!</v>
      </c>
      <c r="R75" s="9">
        <f>IF(F75&gt;0,F75,IF(G75&gt;0,G75,IF(H75&gt;0,H75,AVERAGEIFS(I75:M75,I75:M75,"&gt;="&amp;Q75,I75:M75,"&lt;="&amp;P75))))</f>
        <v>19.39</v>
      </c>
      <c r="S75" s="13">
        <f>IF(F75&gt;0,F75,IF(G75&gt;0,G75,IF(H75&gt;0,H75,MEDIAN(I75:M75))))</f>
        <v>19.39</v>
      </c>
      <c r="T75" s="9">
        <f>IF(R75&gt;S75,S75*E75,R75*E75)</f>
        <v>465.36</v>
      </c>
    </row>
    <row r="76" spans="1:20" s="6" customFormat="1" ht="26.25" thickBot="1" x14ac:dyDescent="0.4">
      <c r="A76" s="61" t="s">
        <v>142</v>
      </c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3"/>
      <c r="T76" s="24">
        <f>SUM(T13:T75)</f>
        <v>5599.5457020000003</v>
      </c>
    </row>
    <row r="77" spans="1:20" x14ac:dyDescent="0.25">
      <c r="A77" s="25"/>
      <c r="B77" s="25"/>
      <c r="C77" s="26"/>
      <c r="D77" s="26"/>
      <c r="E77" s="26"/>
      <c r="F77" s="27"/>
      <c r="G77" s="27"/>
      <c r="H77" s="27"/>
      <c r="I77" s="28"/>
      <c r="J77" s="28"/>
      <c r="K77" s="26"/>
      <c r="L77" s="26"/>
      <c r="M77" s="26"/>
      <c r="N77" s="26"/>
      <c r="O77" s="26"/>
      <c r="P77" s="26"/>
      <c r="Q77" s="26"/>
      <c r="R77" s="26"/>
      <c r="S77" s="27"/>
      <c r="T77" s="26"/>
    </row>
    <row r="78" spans="1:20" x14ac:dyDescent="0.25">
      <c r="A78" s="29" t="s">
        <v>15</v>
      </c>
      <c r="B78" s="30"/>
      <c r="C78" s="31"/>
      <c r="D78" s="31"/>
      <c r="E78" s="31"/>
      <c r="F78" s="32"/>
      <c r="G78" s="32"/>
      <c r="H78" s="32"/>
      <c r="I78" s="33"/>
      <c r="J78" s="33"/>
      <c r="K78" s="31"/>
      <c r="L78" s="31"/>
      <c r="M78" s="31"/>
      <c r="N78" s="31"/>
      <c r="O78" s="31"/>
      <c r="P78" s="31"/>
      <c r="Q78" s="31"/>
      <c r="R78" s="31"/>
      <c r="S78" s="32"/>
      <c r="T78" s="31"/>
    </row>
    <row r="79" spans="1:20" x14ac:dyDescent="0.25">
      <c r="A79" s="60" t="s">
        <v>299</v>
      </c>
      <c r="B79" s="60"/>
      <c r="C79" s="60"/>
      <c r="D79" s="60"/>
      <c r="E79" s="60"/>
      <c r="F79" s="60"/>
      <c r="G79" s="60"/>
      <c r="H79" s="60"/>
      <c r="I79" s="60"/>
      <c r="J79" s="33"/>
      <c r="K79" s="31"/>
      <c r="L79" s="31"/>
      <c r="M79" s="31"/>
      <c r="N79" s="31"/>
      <c r="O79" s="31"/>
      <c r="P79" s="31"/>
      <c r="Q79" s="31"/>
      <c r="R79" s="31"/>
      <c r="S79" s="32"/>
      <c r="T79" s="31"/>
    </row>
    <row r="80" spans="1:20" ht="15.75" customHeight="1" x14ac:dyDescent="0.25">
      <c r="A80" s="60" t="s">
        <v>301</v>
      </c>
      <c r="B80" s="60"/>
      <c r="C80" s="60"/>
      <c r="D80" s="60"/>
      <c r="E80" s="60"/>
      <c r="F80" s="60"/>
      <c r="G80" s="60"/>
      <c r="H80" s="60"/>
      <c r="I80" s="60"/>
      <c r="J80" s="33"/>
      <c r="K80" s="31"/>
      <c r="L80" s="31"/>
      <c r="M80" s="31"/>
      <c r="N80" s="31"/>
      <c r="O80" s="31"/>
      <c r="P80" s="31"/>
      <c r="Q80" s="31"/>
      <c r="R80" s="31"/>
      <c r="S80" s="32"/>
      <c r="T80" s="31"/>
    </row>
    <row r="81" spans="1:9" x14ac:dyDescent="0.25">
      <c r="A81" s="60"/>
      <c r="B81" s="60"/>
      <c r="C81" s="60"/>
      <c r="D81" s="60"/>
      <c r="E81" s="60"/>
      <c r="F81" s="60"/>
      <c r="G81" s="60"/>
      <c r="H81" s="60"/>
      <c r="I81" s="60"/>
    </row>
  </sheetData>
  <mergeCells count="32">
    <mergeCell ref="A5:T5"/>
    <mergeCell ref="A6:T6"/>
    <mergeCell ref="A7:T7"/>
    <mergeCell ref="A9:A10"/>
    <mergeCell ref="B9:B10"/>
    <mergeCell ref="C9:C10"/>
    <mergeCell ref="D9:D10"/>
    <mergeCell ref="E9:E10"/>
    <mergeCell ref="F9:H9"/>
    <mergeCell ref="I9:M9"/>
    <mergeCell ref="A41:T41"/>
    <mergeCell ref="N9:N10"/>
    <mergeCell ref="O9:O10"/>
    <mergeCell ref="P9:P10"/>
    <mergeCell ref="Q9:Q10"/>
    <mergeCell ref="R9:R10"/>
    <mergeCell ref="S9:S10"/>
    <mergeCell ref="T9:T10"/>
    <mergeCell ref="A11:E11"/>
    <mergeCell ref="A12:T12"/>
    <mergeCell ref="A19:T19"/>
    <mergeCell ref="A38:T38"/>
    <mergeCell ref="A79:I79"/>
    <mergeCell ref="A80:I80"/>
    <mergeCell ref="A81:I81"/>
    <mergeCell ref="A48:T48"/>
    <mergeCell ref="A52:T52"/>
    <mergeCell ref="A65:T65"/>
    <mergeCell ref="A70:T70"/>
    <mergeCell ref="A71:T71"/>
    <mergeCell ref="A76:S76"/>
    <mergeCell ref="A56:T56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21" orientation="landscape" horizontalDpi="4294967294" verticalDpi="4294967294" r:id="rId1"/>
  <drawing r:id="rId2"/>
  <legacyDrawing r:id="rId3"/>
  <oleObjects>
    <mc:AlternateContent xmlns:mc="http://schemas.openxmlformats.org/markup-compatibility/2006">
      <mc:Choice Requires="x14">
        <oleObject shapeId="3686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1171575</xdr:colOff>
                <xdr:row>2</xdr:row>
                <xdr:rowOff>171450</xdr:rowOff>
              </to>
            </anchor>
          </objectPr>
        </oleObject>
      </mc:Choice>
      <mc:Fallback>
        <oleObject shapeId="3686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2"/>
  <sheetViews>
    <sheetView tabSelected="1" view="pageBreakPreview" zoomScale="90" zoomScaleNormal="90" zoomScaleSheetLayoutView="90" workbookViewId="0">
      <selection activeCell="B19" sqref="B19"/>
    </sheetView>
  </sheetViews>
  <sheetFormatPr defaultRowHeight="15.75" x14ac:dyDescent="0.25"/>
  <cols>
    <col min="1" max="1" width="12.28515625" style="1" customWidth="1"/>
    <col min="2" max="2" width="75.28515625" style="3" customWidth="1"/>
    <col min="3" max="3" width="34.42578125" style="3" customWidth="1"/>
    <col min="4" max="4" width="35.140625" style="3" customWidth="1"/>
    <col min="5" max="5" width="38.85546875" style="4" customWidth="1"/>
    <col min="6" max="16384" width="9.140625" style="3"/>
  </cols>
  <sheetData>
    <row r="1" spans="1:5" x14ac:dyDescent="0.25">
      <c r="B1" s="2" t="s">
        <v>252</v>
      </c>
    </row>
    <row r="2" spans="1:5" x14ac:dyDescent="0.25">
      <c r="B2" s="2" t="s">
        <v>253</v>
      </c>
    </row>
    <row r="3" spans="1:5" x14ac:dyDescent="0.25">
      <c r="B3" s="2" t="s">
        <v>254</v>
      </c>
    </row>
    <row r="5" spans="1:5" x14ac:dyDescent="0.25">
      <c r="A5" s="65" t="s">
        <v>293</v>
      </c>
      <c r="B5" s="65"/>
      <c r="C5" s="65"/>
      <c r="D5" s="65"/>
      <c r="E5" s="65"/>
    </row>
    <row r="6" spans="1:5" x14ac:dyDescent="0.25">
      <c r="A6" s="66" t="s">
        <v>251</v>
      </c>
      <c r="B6" s="66"/>
      <c r="C6" s="66"/>
      <c r="D6" s="66"/>
      <c r="E6" s="66"/>
    </row>
    <row r="7" spans="1:5" ht="16.5" thickBot="1" x14ac:dyDescent="0.3"/>
    <row r="8" spans="1:5" ht="50.25" customHeight="1" thickBot="1" x14ac:dyDescent="0.3">
      <c r="A8" s="46" t="s">
        <v>0</v>
      </c>
      <c r="B8" s="46" t="s">
        <v>245</v>
      </c>
      <c r="C8" s="47" t="s">
        <v>246</v>
      </c>
      <c r="D8" s="47" t="s">
        <v>248</v>
      </c>
      <c r="E8" s="48" t="s">
        <v>247</v>
      </c>
    </row>
    <row r="9" spans="1:5" ht="74.25" customHeight="1" thickBot="1" x14ac:dyDescent="0.3">
      <c r="A9" s="14" t="s">
        <v>302</v>
      </c>
      <c r="B9" s="16" t="s">
        <v>305</v>
      </c>
      <c r="C9" s="44">
        <f>150</f>
        <v>150</v>
      </c>
      <c r="D9" s="15">
        <f>'1-ASPER-1-ha'!T69</f>
        <v>14932.474052000001</v>
      </c>
      <c r="E9" s="13">
        <f>C9*D9</f>
        <v>2239871.1078000003</v>
      </c>
    </row>
    <row r="10" spans="1:5" ht="74.25" customHeight="1" thickBot="1" x14ac:dyDescent="0.3">
      <c r="A10" s="14" t="s">
        <v>303</v>
      </c>
      <c r="B10" s="55" t="s">
        <v>306</v>
      </c>
      <c r="C10" s="44">
        <f>300</f>
        <v>300</v>
      </c>
      <c r="D10" s="15">
        <f>'2-MICROASPER-0.5-ha'!T74</f>
        <v>11880.694052000001</v>
      </c>
      <c r="E10" s="13">
        <f t="shared" ref="E10:E11" si="0">C10*D10</f>
        <v>3564208.2156000002</v>
      </c>
    </row>
    <row r="11" spans="1:5" ht="74.25" customHeight="1" thickBot="1" x14ac:dyDescent="0.3">
      <c r="A11" s="14" t="s">
        <v>304</v>
      </c>
      <c r="B11" s="16" t="s">
        <v>307</v>
      </c>
      <c r="C11" s="44">
        <f>300</f>
        <v>300</v>
      </c>
      <c r="D11" s="15">
        <f>'3-HORTA-500-m²'!T76</f>
        <v>5599.5457020000003</v>
      </c>
      <c r="E11" s="13">
        <f t="shared" si="0"/>
        <v>1679863.7106000001</v>
      </c>
    </row>
    <row r="12" spans="1:5" s="6" customFormat="1" ht="26.25" thickBot="1" x14ac:dyDescent="0.3">
      <c r="A12" s="61" t="s">
        <v>142</v>
      </c>
      <c r="B12" s="62"/>
      <c r="C12" s="62"/>
      <c r="D12" s="62"/>
      <c r="E12" s="49">
        <f>SUM(E9:E11)</f>
        <v>7483943.034</v>
      </c>
    </row>
  </sheetData>
  <mergeCells count="3">
    <mergeCell ref="A5:E5"/>
    <mergeCell ref="A12:D12"/>
    <mergeCell ref="A6:E6"/>
  </mergeCells>
  <printOptions horizontalCentered="1" verticalCentered="1"/>
  <pageMargins left="0.11811023622047245" right="0.11811023622047245" top="0.78740157480314965" bottom="0.78740157480314965" header="0.31496062992125984" footer="0.31496062992125984"/>
  <pageSetup paperSize="9" scale="73" orientation="landscape" horizontalDpi="300" verticalDpi="300" r:id="rId1"/>
  <drawing r:id="rId2"/>
  <legacyDrawing r:id="rId3"/>
  <oleObjects>
    <mc:AlternateContent xmlns:mc="http://schemas.openxmlformats.org/markup-compatibility/2006">
      <mc:Choice Requires="x14">
        <oleObject shapeId="6145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1438275</xdr:colOff>
                <xdr:row>2</xdr:row>
                <xdr:rowOff>171450</xdr:rowOff>
              </to>
            </anchor>
          </objectPr>
        </oleObject>
      </mc:Choice>
      <mc:Fallback>
        <oleObject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1-ASPER-1-ha</vt:lpstr>
      <vt:lpstr>2-MICROASPER-0.5-ha</vt:lpstr>
      <vt:lpstr>3-HORTA-500-m²</vt:lpstr>
      <vt:lpstr>4-TOTALIZADOR</vt:lpstr>
      <vt:lpstr>'1-ASPER-1-ha'!Area_de_impressao</vt:lpstr>
      <vt:lpstr>'2-MICROASPER-0.5-ha'!Area_de_impressao</vt:lpstr>
      <vt:lpstr>'3-HORTA-500-m²'!Area_de_impressao</vt:lpstr>
      <vt:lpstr>'4-TOTALIZADOR'!Area_de_impressao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Barros Vieira</dc:creator>
  <cp:lastModifiedBy>Daniel Pereira Costa</cp:lastModifiedBy>
  <cp:lastPrinted>2024-10-14T13:32:06Z</cp:lastPrinted>
  <dcterms:created xsi:type="dcterms:W3CDTF">2023-08-07T14:34:22Z</dcterms:created>
  <dcterms:modified xsi:type="dcterms:W3CDTF">2024-11-22T12:44:06Z</dcterms:modified>
</cp:coreProperties>
</file>